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0" windowWidth="18195" windowHeight="11640" activeTab="1"/>
  </bookViews>
  <sheets>
    <sheet name="Relationships" sheetId="15" r:id="rId1"/>
    <sheet name="Decimal Degrees to Grid " sheetId="1" r:id="rId2"/>
    <sheet name="Degs-Mins to Decimal Degrees" sheetId="23" r:id="rId3"/>
    <sheet name="DMS to Decimal Degrees" sheetId="22" r:id="rId4"/>
    <sheet name="Grid to Degree Converter" sheetId="21" r:id="rId5"/>
    <sheet name="Accuracy" sheetId="2" r:id="rId6"/>
    <sheet name="Grid to Grid Distance" sheetId="24" r:id="rId7"/>
    <sheet name="Character 1 Table 13" sheetId="3" r:id="rId8"/>
    <sheet name="Character 2 Table 14" sheetId="4" r:id="rId9"/>
    <sheet name="Character 3 Table 15" sheetId="5" r:id="rId10"/>
    <sheet name="Character 4 Table 16" sheetId="6" r:id="rId11"/>
    <sheet name="Character 5 Table 17" sheetId="7" r:id="rId12"/>
    <sheet name="Character 6 Table 18" sheetId="8" r:id="rId13"/>
    <sheet name="Character 7 Table 19" sheetId="9" r:id="rId14"/>
    <sheet name="Character 8 Table 20" sheetId="10" r:id="rId15"/>
    <sheet name="Character 9 Table 21" sheetId="11" r:id="rId16"/>
    <sheet name="Character 10 Table 22" sheetId="12" r:id="rId17"/>
    <sheet name="Character 11 Table 23" sheetId="13" r:id="rId18"/>
    <sheet name="Character 12 Table 24" sheetId="14" r:id="rId19"/>
    <sheet name="Character 13 Table 25" sheetId="16" r:id="rId20"/>
    <sheet name="Character 14 Table 26" sheetId="17" r:id="rId21"/>
    <sheet name="Character 15 Table 27" sheetId="18" r:id="rId22"/>
    <sheet name="Character 16 Table 28" sheetId="20" r:id="rId23"/>
  </sheets>
  <definedNames>
    <definedName name="Lat_RX_1">Accuracy!$B$3</definedName>
    <definedName name="Lat_RX_2">Accuracy!$D$3</definedName>
    <definedName name="Lat_RX_3">Accuracy!$D$4</definedName>
    <definedName name="Lat_RX_4">Accuracy!$D$5</definedName>
    <definedName name="Lat_RX_5">Accuracy!$D$6</definedName>
    <definedName name="Lat_RX_6">Accuracy!$D$7</definedName>
    <definedName name="Lat_RX_7">Accuracy!$D$8</definedName>
    <definedName name="Lat_RX_8">Accuracy!$D$9</definedName>
    <definedName name="Lat_RX_9">Accuracy!$D$10</definedName>
    <definedName name="Latitude_1">'Grid to Grid Distance'!$E$3</definedName>
    <definedName name="Latitude_2">'Grid to Grid Distance'!$E$4</definedName>
    <definedName name="Lon_RX_1">Accuracy!$C$3</definedName>
    <definedName name="Lon_RX_2">Accuracy!$E$3</definedName>
    <definedName name="Lon_RX_3">Accuracy!$E$4</definedName>
    <definedName name="Lon_RX_4">Accuracy!$E$5</definedName>
    <definedName name="Lon_RX_5">Accuracy!$E$6</definedName>
    <definedName name="Lon_RX_6">Accuracy!$E$7</definedName>
    <definedName name="Lon_RX_7">Accuracy!$E$8</definedName>
    <definedName name="Lon_RX_8">Accuracy!$E$9</definedName>
    <definedName name="Lon_RX_9">Accuracy!$E$10</definedName>
    <definedName name="Longitude_1">'Grid to Grid Distance'!$F$3</definedName>
    <definedName name="Longitude_2">'Grid to Grid Distance'!$F$4</definedName>
    <definedName name="_xlnm.Print_Area" localSheetId="7">'Character 1 Table 13'!$B$3:$D$40</definedName>
    <definedName name="_xlnm.Print_Area" localSheetId="16">'Character 10 Table 22'!$B$3:$D$100</definedName>
    <definedName name="_xlnm.Print_Area" localSheetId="17">'Character 11 Table 23'!$B$3:$D$44</definedName>
    <definedName name="_xlnm.Print_Area" localSheetId="18">'Character 12 Table 24'!$B$3:$D$44</definedName>
    <definedName name="_xlnm.Print_Area" localSheetId="19">'Character 13 Table 25'!$B$2:$D$100</definedName>
    <definedName name="_xlnm.Print_Area" localSheetId="20">'Character 14 Table 26'!$B$2:$D$100</definedName>
    <definedName name="_xlnm.Print_Area" localSheetId="21">'Character 15 Table 27'!$B$2:$D$44</definedName>
    <definedName name="_xlnm.Print_Area" localSheetId="22">'Character 16 Table 28'!$B$2:$D$44</definedName>
    <definedName name="_xlnm.Print_Area" localSheetId="8">'Character 2 Table 14'!$B$3:$D$40</definedName>
    <definedName name="_xlnm.Print_Area" localSheetId="9">'Character 3 Table 15'!$B$3:$D$44</definedName>
    <definedName name="_xlnm.Print_Area" localSheetId="10">'Character 4 Table 16'!$B$3:$D$44</definedName>
    <definedName name="_xlnm.Print_Area" localSheetId="11">'Character 5 Table 17'!$B$3:$D$100</definedName>
    <definedName name="_xlnm.Print_Area" localSheetId="12">'Character 6 Table 18'!$B$3:$D$100</definedName>
    <definedName name="_xlnm.Print_Area" localSheetId="13">'Character 7 Table 19'!$B$3:$D$44</definedName>
    <definedName name="_xlnm.Print_Area" localSheetId="14">'Character 8 Table 20'!$B$3:$D$44</definedName>
    <definedName name="_xlnm.Print_Area" localSheetId="15">'Character 9 Table 21'!$B$3:$D$100</definedName>
    <definedName name="_xlnm.Print_Area" localSheetId="4">'Grid to Degree Converter'!$B$7:$C$52</definedName>
  </definedNames>
  <calcPr calcId="145621"/>
</workbook>
</file>

<file path=xl/calcChain.xml><?xml version="1.0" encoding="utf-8"?>
<calcChain xmlns="http://schemas.openxmlformats.org/spreadsheetml/2006/main">
  <c r="D31" i="15"/>
  <c r="C31"/>
  <c r="F24" i="24" l="1"/>
  <c r="F23"/>
  <c r="F22"/>
  <c r="F21"/>
  <c r="F20"/>
  <c r="F19"/>
  <c r="F18"/>
  <c r="F17"/>
  <c r="F16"/>
  <c r="F15"/>
  <c r="F14"/>
  <c r="F13"/>
  <c r="F12"/>
  <c r="F11"/>
  <c r="F10"/>
  <c r="F26" s="1"/>
  <c r="F9"/>
  <c r="F25" s="1"/>
  <c r="F8"/>
  <c r="C24"/>
  <c r="C23"/>
  <c r="C22"/>
  <c r="C21"/>
  <c r="C20"/>
  <c r="C19"/>
  <c r="C18"/>
  <c r="C17"/>
  <c r="C16"/>
  <c r="C15"/>
  <c r="C14"/>
  <c r="C13"/>
  <c r="C12"/>
  <c r="C11"/>
  <c r="C10"/>
  <c r="C26" s="1"/>
  <c r="C34" s="1"/>
  <c r="C9"/>
  <c r="C25" s="1"/>
  <c r="C37" s="1"/>
  <c r="C8"/>
  <c r="D6" i="23"/>
  <c r="C6"/>
  <c r="C7" i="22"/>
  <c r="D7"/>
  <c r="F37" i="24" l="1"/>
  <c r="F33"/>
  <c r="F29"/>
  <c r="F39"/>
  <c r="F35"/>
  <c r="F31"/>
  <c r="F40"/>
  <c r="F36"/>
  <c r="F32"/>
  <c r="F38"/>
  <c r="F34"/>
  <c r="F30"/>
  <c r="F27"/>
  <c r="F28"/>
  <c r="C27"/>
  <c r="C31"/>
  <c r="C35"/>
  <c r="C39"/>
  <c r="C28"/>
  <c r="C32"/>
  <c r="C36"/>
  <c r="C40"/>
  <c r="C29"/>
  <c r="C33"/>
  <c r="C30"/>
  <c r="C38"/>
  <c r="F41" l="1"/>
  <c r="F43" s="1"/>
  <c r="F45" s="1"/>
  <c r="F47" s="1"/>
  <c r="F49" s="1"/>
  <c r="F51" s="1"/>
  <c r="C41"/>
  <c r="F3" s="1"/>
  <c r="C24" i="21"/>
  <c r="C23"/>
  <c r="C22"/>
  <c r="C21"/>
  <c r="C20"/>
  <c r="C19"/>
  <c r="C18"/>
  <c r="C17"/>
  <c r="C16"/>
  <c r="C15"/>
  <c r="C14"/>
  <c r="C13"/>
  <c r="C12"/>
  <c r="C11"/>
  <c r="C10"/>
  <c r="C26" s="1"/>
  <c r="C9"/>
  <c r="C25" s="1"/>
  <c r="C8"/>
  <c r="F4" i="24" l="1"/>
  <c r="C43"/>
  <c r="C45" s="1"/>
  <c r="C47" s="1"/>
  <c r="C49" s="1"/>
  <c r="C51" s="1"/>
  <c r="F42"/>
  <c r="E4" s="1"/>
  <c r="C42"/>
  <c r="C39" i="21"/>
  <c r="C35"/>
  <c r="C31"/>
  <c r="C37"/>
  <c r="C33"/>
  <c r="C29"/>
  <c r="C27"/>
  <c r="C38"/>
  <c r="C34"/>
  <c r="C40"/>
  <c r="C36"/>
  <c r="C32"/>
  <c r="C28"/>
  <c r="C30"/>
  <c r="B10" i="2"/>
  <c r="C10"/>
  <c r="B44" i="20"/>
  <c r="D44" s="1"/>
  <c r="D42"/>
  <c r="B42"/>
  <c r="B40"/>
  <c r="D40" s="1"/>
  <c r="B38"/>
  <c r="D38" s="1"/>
  <c r="B36"/>
  <c r="D36" s="1"/>
  <c r="B34"/>
  <c r="D34" s="1"/>
  <c r="B32"/>
  <c r="D32" s="1"/>
  <c r="B30"/>
  <c r="D30" s="1"/>
  <c r="B28"/>
  <c r="D28" s="1"/>
  <c r="D26"/>
  <c r="D24"/>
  <c r="B22"/>
  <c r="D22" s="1"/>
  <c r="B20"/>
  <c r="D20" s="1"/>
  <c r="B18"/>
  <c r="D18" s="1"/>
  <c r="B16"/>
  <c r="D16" s="1"/>
  <c r="B14"/>
  <c r="D14" s="1"/>
  <c r="B12"/>
  <c r="D12" s="1"/>
  <c r="B10"/>
  <c r="D10" s="1"/>
  <c r="D8"/>
  <c r="B8"/>
  <c r="B6"/>
  <c r="D6" s="1"/>
  <c r="B4"/>
  <c r="D4" s="1"/>
  <c r="B4" i="18"/>
  <c r="D4" s="1"/>
  <c r="B6"/>
  <c r="B8"/>
  <c r="B10"/>
  <c r="B12"/>
  <c r="B14"/>
  <c r="B16"/>
  <c r="B18"/>
  <c r="B20"/>
  <c r="D20" s="1"/>
  <c r="B22"/>
  <c r="D22"/>
  <c r="B44"/>
  <c r="B42"/>
  <c r="B40"/>
  <c r="B38"/>
  <c r="D38" s="1"/>
  <c r="B36"/>
  <c r="D36" s="1"/>
  <c r="B34"/>
  <c r="B32"/>
  <c r="B30"/>
  <c r="D30" s="1"/>
  <c r="B28"/>
  <c r="D44"/>
  <c r="D42"/>
  <c r="D40"/>
  <c r="D34"/>
  <c r="D32"/>
  <c r="D26"/>
  <c r="D24"/>
  <c r="D18"/>
  <c r="D16"/>
  <c r="D14"/>
  <c r="D12"/>
  <c r="D10"/>
  <c r="D8"/>
  <c r="D6"/>
  <c r="B9" i="2"/>
  <c r="C9"/>
  <c r="C41" i="21" l="1"/>
  <c r="H4" s="1"/>
  <c r="F44" i="24"/>
  <c r="C44"/>
  <c r="C46" s="1"/>
  <c r="E3"/>
  <c r="G3" s="1"/>
  <c r="C42" i="21"/>
  <c r="B100" i="17"/>
  <c r="B4" s="1"/>
  <c r="D4" s="1"/>
  <c r="B98"/>
  <c r="B6" s="1"/>
  <c r="D6" s="1"/>
  <c r="B96"/>
  <c r="B8" s="1"/>
  <c r="D8" s="1"/>
  <c r="B94"/>
  <c r="D94" s="1"/>
  <c r="B92"/>
  <c r="B12" s="1"/>
  <c r="D12" s="1"/>
  <c r="B90"/>
  <c r="D90" s="1"/>
  <c r="B88"/>
  <c r="B16" s="1"/>
  <c r="D16" s="1"/>
  <c r="D86"/>
  <c r="B86"/>
  <c r="B84"/>
  <c r="B20" s="1"/>
  <c r="D20" s="1"/>
  <c r="B82"/>
  <c r="B22" s="1"/>
  <c r="D22" s="1"/>
  <c r="B80"/>
  <c r="B24" s="1"/>
  <c r="D24" s="1"/>
  <c r="B78"/>
  <c r="D78" s="1"/>
  <c r="B76"/>
  <c r="B28" s="1"/>
  <c r="D28" s="1"/>
  <c r="B74"/>
  <c r="D74" s="1"/>
  <c r="B72"/>
  <c r="B32" s="1"/>
  <c r="D32" s="1"/>
  <c r="D70"/>
  <c r="B70"/>
  <c r="B68"/>
  <c r="B36" s="1"/>
  <c r="D36" s="1"/>
  <c r="B66"/>
  <c r="B38" s="1"/>
  <c r="D38" s="1"/>
  <c r="B64"/>
  <c r="B40" s="1"/>
  <c r="D40" s="1"/>
  <c r="B62"/>
  <c r="D62" s="1"/>
  <c r="B60"/>
  <c r="B44" s="1"/>
  <c r="D44" s="1"/>
  <c r="B58"/>
  <c r="D58" s="1"/>
  <c r="B56"/>
  <c r="B48" s="1"/>
  <c r="D48" s="1"/>
  <c r="D54"/>
  <c r="D52"/>
  <c r="B50"/>
  <c r="D50" s="1"/>
  <c r="B46"/>
  <c r="D46" s="1"/>
  <c r="B42"/>
  <c r="D42" s="1"/>
  <c r="B34"/>
  <c r="D34" s="1"/>
  <c r="B30"/>
  <c r="D30" s="1"/>
  <c r="B26"/>
  <c r="D26" s="1"/>
  <c r="B18"/>
  <c r="D18" s="1"/>
  <c r="B14"/>
  <c r="D14" s="1"/>
  <c r="B10"/>
  <c r="D10" s="1"/>
  <c r="C43" i="21" l="1"/>
  <c r="F46" i="24"/>
  <c r="F48" s="1"/>
  <c r="F50" s="1"/>
  <c r="F52" s="1"/>
  <c r="C48"/>
  <c r="C50" s="1"/>
  <c r="C52" s="1"/>
  <c r="H3" i="21"/>
  <c r="C44"/>
  <c r="D66" i="17"/>
  <c r="D82"/>
  <c r="D98"/>
  <c r="D56"/>
  <c r="D60"/>
  <c r="D64"/>
  <c r="D68"/>
  <c r="D72"/>
  <c r="D76"/>
  <c r="D80"/>
  <c r="D84"/>
  <c r="D88"/>
  <c r="D92"/>
  <c r="D96"/>
  <c r="D100"/>
  <c r="D6" i="16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6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D84"/>
  <c r="D86"/>
  <c r="D88"/>
  <c r="D90"/>
  <c r="D92"/>
  <c r="D94"/>
  <c r="D96"/>
  <c r="D98"/>
  <c r="D100"/>
  <c r="D4"/>
  <c r="B4"/>
  <c r="B6"/>
  <c r="B50"/>
  <c r="B100"/>
  <c r="B98"/>
  <c r="B96"/>
  <c r="B8" s="1"/>
  <c r="B94"/>
  <c r="B10" s="1"/>
  <c r="B92"/>
  <c r="B12" s="1"/>
  <c r="B90"/>
  <c r="B14" s="1"/>
  <c r="B88"/>
  <c r="B16" s="1"/>
  <c r="B86"/>
  <c r="B18" s="1"/>
  <c r="B84"/>
  <c r="B20" s="1"/>
  <c r="B82"/>
  <c r="B22" s="1"/>
  <c r="B80"/>
  <c r="B24" s="1"/>
  <c r="B78"/>
  <c r="B26" s="1"/>
  <c r="B76"/>
  <c r="B28" s="1"/>
  <c r="B74"/>
  <c r="B30" s="1"/>
  <c r="B72"/>
  <c r="B32" s="1"/>
  <c r="B70"/>
  <c r="B34" s="1"/>
  <c r="B68"/>
  <c r="B36" s="1"/>
  <c r="B66"/>
  <c r="B38" s="1"/>
  <c r="B64"/>
  <c r="B40" s="1"/>
  <c r="B62"/>
  <c r="B42" s="1"/>
  <c r="B60"/>
  <c r="B44" s="1"/>
  <c r="B58"/>
  <c r="B46" s="1"/>
  <c r="B56"/>
  <c r="B48" s="1"/>
  <c r="C45" i="21" l="1"/>
  <c r="C47" s="1"/>
  <c r="C46"/>
  <c r="D33" i="15"/>
  <c r="D22" s="1"/>
  <c r="C33"/>
  <c r="D6" i="14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"/>
  <c r="D6" i="12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6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D84"/>
  <c r="D86"/>
  <c r="D88"/>
  <c r="D90"/>
  <c r="D92"/>
  <c r="D94"/>
  <c r="D96"/>
  <c r="D98"/>
  <c r="D100"/>
  <c r="D4"/>
  <c r="D6" i="10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"/>
  <c r="D6" i="8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6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D84"/>
  <c r="D86"/>
  <c r="D88"/>
  <c r="D90"/>
  <c r="D92"/>
  <c r="D94"/>
  <c r="D96"/>
  <c r="D98"/>
  <c r="D100"/>
  <c r="D4"/>
  <c r="D6" i="6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"/>
  <c r="D4" i="5"/>
  <c r="D6" i="13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"/>
  <c r="D6" i="11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6"/>
  <c r="D48"/>
  <c r="D50"/>
  <c r="D52"/>
  <c r="D54"/>
  <c r="D56"/>
  <c r="D58"/>
  <c r="D60"/>
  <c r="D62"/>
  <c r="D64"/>
  <c r="D66"/>
  <c r="D68"/>
  <c r="D70"/>
  <c r="D72"/>
  <c r="D74"/>
  <c r="D76"/>
  <c r="D78"/>
  <c r="D80"/>
  <c r="D82"/>
  <c r="D84"/>
  <c r="D86"/>
  <c r="D88"/>
  <c r="D90"/>
  <c r="D92"/>
  <c r="D94"/>
  <c r="D96"/>
  <c r="D98"/>
  <c r="D100"/>
  <c r="D4"/>
  <c r="D6" i="9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4"/>
  <c r="D100" i="7"/>
  <c r="D98"/>
  <c r="D96"/>
  <c r="D94"/>
  <c r="D92"/>
  <c r="D90"/>
  <c r="D88"/>
  <c r="D86"/>
  <c r="D84"/>
  <c r="D82"/>
  <c r="D80"/>
  <c r="D78"/>
  <c r="D76"/>
  <c r="D74"/>
  <c r="D72"/>
  <c r="D70"/>
  <c r="D68"/>
  <c r="D66"/>
  <c r="D64"/>
  <c r="D62"/>
  <c r="D60"/>
  <c r="D58"/>
  <c r="D56"/>
  <c r="D54"/>
  <c r="D50"/>
  <c r="D48"/>
  <c r="D46"/>
  <c r="D44"/>
  <c r="D42"/>
  <c r="D40"/>
  <c r="D38"/>
  <c r="D36"/>
  <c r="D34"/>
  <c r="D32"/>
  <c r="D30"/>
  <c r="D28"/>
  <c r="D26"/>
  <c r="D24"/>
  <c r="D22"/>
  <c r="D20"/>
  <c r="D18"/>
  <c r="D16"/>
  <c r="D14"/>
  <c r="D12"/>
  <c r="D10"/>
  <c r="D8"/>
  <c r="D6"/>
  <c r="D4"/>
  <c r="D52"/>
  <c r="C34" i="15" l="1"/>
  <c r="C23" s="1"/>
  <c r="I42"/>
  <c r="I49"/>
  <c r="D34"/>
  <c r="D23" s="1"/>
  <c r="I43"/>
  <c r="J4" i="21"/>
  <c r="C49"/>
  <c r="K3"/>
  <c r="I3"/>
  <c r="I4"/>
  <c r="K4"/>
  <c r="C48"/>
  <c r="C11" i="15"/>
  <c r="C10"/>
  <c r="D10"/>
  <c r="C22"/>
  <c r="D6" i="5"/>
  <c r="D8"/>
  <c r="D10"/>
  <c r="D12"/>
  <c r="D14"/>
  <c r="D16"/>
  <c r="D18"/>
  <c r="D20"/>
  <c r="D22"/>
  <c r="D24"/>
  <c r="D26"/>
  <c r="D28"/>
  <c r="D30"/>
  <c r="D32"/>
  <c r="D34"/>
  <c r="D36"/>
  <c r="D38"/>
  <c r="D40"/>
  <c r="D42"/>
  <c r="D44"/>
  <c r="D6" i="4"/>
  <c r="D8"/>
  <c r="D10"/>
  <c r="D12"/>
  <c r="D14"/>
  <c r="D16"/>
  <c r="D18"/>
  <c r="D20"/>
  <c r="D22"/>
  <c r="D24"/>
  <c r="D26"/>
  <c r="D28"/>
  <c r="D30"/>
  <c r="D32"/>
  <c r="D34"/>
  <c r="D36"/>
  <c r="D38"/>
  <c r="D40"/>
  <c r="D4"/>
  <c r="D4" i="3"/>
  <c r="E35" i="1"/>
  <c r="E8"/>
  <c r="E10" s="1"/>
  <c r="D6" i="3"/>
  <c r="D8"/>
  <c r="D10"/>
  <c r="D12"/>
  <c r="D14"/>
  <c r="D16"/>
  <c r="D18"/>
  <c r="D20"/>
  <c r="D22"/>
  <c r="D24"/>
  <c r="D26"/>
  <c r="D28"/>
  <c r="D30"/>
  <c r="D32"/>
  <c r="D34"/>
  <c r="D36"/>
  <c r="D38"/>
  <c r="D40"/>
  <c r="D11" i="15" l="1"/>
  <c r="I50"/>
  <c r="J3" i="21"/>
  <c r="C50"/>
  <c r="C51"/>
  <c r="M4" s="1"/>
  <c r="L4"/>
  <c r="E37" i="1"/>
  <c r="E36"/>
  <c r="E11"/>
  <c r="E9"/>
  <c r="F10"/>
  <c r="I48" i="15"/>
  <c r="I47"/>
  <c r="I41"/>
  <c r="I40"/>
  <c r="C16"/>
  <c r="D16"/>
  <c r="C27"/>
  <c r="D27"/>
  <c r="I39" s="1"/>
  <c r="C17"/>
  <c r="D17"/>
  <c r="C28"/>
  <c r="D28"/>
  <c r="C18"/>
  <c r="D18"/>
  <c r="C19"/>
  <c r="D19"/>
  <c r="C20"/>
  <c r="D20"/>
  <c r="C21"/>
  <c r="D21"/>
  <c r="C7"/>
  <c r="D7"/>
  <c r="C8"/>
  <c r="D8"/>
  <c r="C9"/>
  <c r="D9"/>
  <c r="D6"/>
  <c r="C6"/>
  <c r="I38"/>
  <c r="B44" i="14"/>
  <c r="B42"/>
  <c r="B40"/>
  <c r="B38"/>
  <c r="B36"/>
  <c r="B34"/>
  <c r="B32"/>
  <c r="B30"/>
  <c r="B28"/>
  <c r="B26"/>
  <c r="B22"/>
  <c r="B20"/>
  <c r="B18"/>
  <c r="B16"/>
  <c r="B14"/>
  <c r="B12"/>
  <c r="B10"/>
  <c r="B8"/>
  <c r="B6"/>
  <c r="B4"/>
  <c r="B100" i="12"/>
  <c r="B98"/>
  <c r="B96"/>
  <c r="B94"/>
  <c r="B92"/>
  <c r="B90"/>
  <c r="B88"/>
  <c r="B86"/>
  <c r="B84"/>
  <c r="B82"/>
  <c r="B80"/>
  <c r="B78"/>
  <c r="B76"/>
  <c r="B74"/>
  <c r="B72"/>
  <c r="B70"/>
  <c r="B68"/>
  <c r="B66"/>
  <c r="B64"/>
  <c r="B62"/>
  <c r="B60"/>
  <c r="B58"/>
  <c r="B56"/>
  <c r="B54"/>
  <c r="B50"/>
  <c r="B48"/>
  <c r="B46"/>
  <c r="B44"/>
  <c r="B42"/>
  <c r="B40"/>
  <c r="B38"/>
  <c r="B36"/>
  <c r="B34"/>
  <c r="B32"/>
  <c r="B30"/>
  <c r="B28"/>
  <c r="B26"/>
  <c r="B24"/>
  <c r="B22"/>
  <c r="B20"/>
  <c r="B18"/>
  <c r="B16"/>
  <c r="B14"/>
  <c r="B12"/>
  <c r="B10"/>
  <c r="B8"/>
  <c r="B6"/>
  <c r="B4"/>
  <c r="C52" i="21" l="1"/>
  <c r="M3" s="1"/>
  <c r="L3"/>
  <c r="I45" i="15"/>
  <c r="E13" i="1"/>
  <c r="E12"/>
  <c r="F37"/>
  <c r="I46" i="15"/>
  <c r="F13" i="1" l="1"/>
  <c r="E4" i="2" s="1"/>
  <c r="C4"/>
  <c r="C5"/>
  <c r="C6"/>
  <c r="C7"/>
  <c r="C8"/>
  <c r="C3"/>
  <c r="B4"/>
  <c r="B5"/>
  <c r="B6"/>
  <c r="B7"/>
  <c r="B8"/>
  <c r="B3"/>
  <c r="D3"/>
  <c r="E3"/>
  <c r="G4" i="24" l="1"/>
  <c r="F3" i="2"/>
  <c r="G3" s="1"/>
  <c r="B8" i="1"/>
  <c r="B35"/>
  <c r="B36" l="1"/>
  <c r="B37" l="1"/>
  <c r="B10"/>
  <c r="B38" l="1"/>
  <c r="B40" s="1"/>
  <c r="B9"/>
  <c r="B11"/>
  <c r="E38" l="1"/>
  <c r="B39"/>
  <c r="B41"/>
  <c r="B42" s="1"/>
  <c r="B12"/>
  <c r="B13"/>
  <c r="B44" l="1"/>
  <c r="B45" s="1"/>
  <c r="B46" s="1"/>
  <c r="B48" s="1"/>
  <c r="B43"/>
  <c r="E40"/>
  <c r="E39"/>
  <c r="B14"/>
  <c r="B15" s="1"/>
  <c r="B17" s="1"/>
  <c r="F40" l="1"/>
  <c r="D4" i="2" s="1"/>
  <c r="F4" s="1"/>
  <c r="G4" s="1"/>
  <c r="E41" i="1"/>
  <c r="E14"/>
  <c r="B47"/>
  <c r="B16"/>
  <c r="B18"/>
  <c r="B19" s="1"/>
  <c r="B20" s="1"/>
  <c r="B49"/>
  <c r="B51" l="1"/>
  <c r="B52" s="1"/>
  <c r="B50"/>
  <c r="E44"/>
  <c r="E43"/>
  <c r="E17"/>
  <c r="E19" s="1"/>
  <c r="E16"/>
  <c r="B21"/>
  <c r="B22" s="1"/>
  <c r="F44" l="1"/>
  <c r="D5" i="2" s="1"/>
  <c r="E46" i="1"/>
  <c r="F17"/>
  <c r="E5" i="2" s="1"/>
  <c r="E21" i="1"/>
  <c r="F21" s="1"/>
  <c r="E6" i="2" s="1"/>
  <c r="E20" i="1"/>
  <c r="B53"/>
  <c r="B54"/>
  <c r="B24"/>
  <c r="B23"/>
  <c r="F5" i="2" l="1"/>
  <c r="G5" s="1"/>
  <c r="E48" i="1"/>
  <c r="E47"/>
  <c r="B55"/>
  <c r="E22"/>
  <c r="B25"/>
  <c r="E49" l="1"/>
  <c r="B57"/>
  <c r="B58" s="1"/>
  <c r="B56"/>
  <c r="F48"/>
  <c r="D6" i="2" s="1"/>
  <c r="F6" s="1"/>
  <c r="G6" s="1"/>
  <c r="E24" i="1"/>
  <c r="E23"/>
  <c r="B26"/>
  <c r="B27"/>
  <c r="B28" s="1"/>
  <c r="B30" l="1"/>
  <c r="B31" s="1"/>
  <c r="B29"/>
  <c r="B60"/>
  <c r="B61" s="1"/>
  <c r="B59"/>
  <c r="E51"/>
  <c r="E52" s="1"/>
  <c r="E50"/>
  <c r="F24"/>
  <c r="E7" i="2" s="1"/>
  <c r="E25" i="1"/>
  <c r="B32" l="1"/>
  <c r="E2" s="1"/>
  <c r="B33"/>
  <c r="B34" s="1"/>
  <c r="E54"/>
  <c r="E55" s="1"/>
  <c r="E53"/>
  <c r="F51"/>
  <c r="D7" i="2" s="1"/>
  <c r="F7" s="1"/>
  <c r="G7" s="1"/>
  <c r="E26" i="1"/>
  <c r="E27"/>
  <c r="D28" i="18"/>
  <c r="E57" i="1" l="1"/>
  <c r="E58" s="1"/>
  <c r="E56"/>
  <c r="F27"/>
  <c r="E8" i="2" s="1"/>
  <c r="E28" i="1"/>
  <c r="F54"/>
  <c r="D8" i="2" s="1"/>
  <c r="F8" l="1"/>
  <c r="G8" s="1"/>
  <c r="E59" i="1"/>
  <c r="E60"/>
  <c r="E61" s="1"/>
  <c r="E29"/>
  <c r="E30"/>
  <c r="E31" s="1"/>
  <c r="F57"/>
  <c r="D9" i="2" s="1"/>
  <c r="E32" i="1" l="1"/>
  <c r="E33"/>
  <c r="E34" s="1"/>
  <c r="F60"/>
  <c r="D10" i="2" s="1"/>
  <c r="F30" i="1"/>
  <c r="E9" i="2" s="1"/>
  <c r="F9" s="1"/>
  <c r="G9" s="1"/>
  <c r="F33" i="1" l="1"/>
  <c r="E10" i="2" s="1"/>
  <c r="F10" s="1"/>
  <c r="G10" s="1"/>
</calcChain>
</file>

<file path=xl/sharedStrings.xml><?xml version="1.0" encoding="utf-8"?>
<sst xmlns="http://schemas.openxmlformats.org/spreadsheetml/2006/main" count="837" uniqueCount="227">
  <si>
    <t>Remaining lon degrees</t>
  </si>
  <si>
    <t>Remaining lon minutes</t>
  </si>
  <si>
    <t>Remaining lon seconds</t>
  </si>
  <si>
    <t>Extract value 1</t>
  </si>
  <si>
    <t>Extract value 3</t>
  </si>
  <si>
    <t>Subtract</t>
  </si>
  <si>
    <t>Extract value 5</t>
  </si>
  <si>
    <t>Extract value 7</t>
  </si>
  <si>
    <t>Extract value 9</t>
  </si>
  <si>
    <t>Extract value 2</t>
  </si>
  <si>
    <t>Extract value 4</t>
  </si>
  <si>
    <t>Remaining lat degrees</t>
  </si>
  <si>
    <t>Remaining lat minutes</t>
  </si>
  <si>
    <t>Extract value 6</t>
  </si>
  <si>
    <t>Remaining lat seconds</t>
  </si>
  <si>
    <t>Extract value 8</t>
  </si>
  <si>
    <t>Extract value 10</t>
  </si>
  <si>
    <t>Character 1</t>
  </si>
  <si>
    <t>Character 3</t>
  </si>
  <si>
    <t>Character 5</t>
  </si>
  <si>
    <t>Character 7</t>
  </si>
  <si>
    <t>Character 9</t>
  </si>
  <si>
    <t>Character 11</t>
  </si>
  <si>
    <t>Character 2</t>
  </si>
  <si>
    <t>Character 4</t>
  </si>
  <si>
    <t>Character 6</t>
  </si>
  <si>
    <t>Character 8</t>
  </si>
  <si>
    <t>Character 10</t>
  </si>
  <si>
    <t>Character 12</t>
  </si>
  <si>
    <t>Remaining lon milliseconds</t>
  </si>
  <si>
    <t>Latitude milliseconds</t>
  </si>
  <si>
    <t>Longitude milliseconds</t>
  </si>
  <si>
    <t>Remaining lat milliseconds</t>
  </si>
  <si>
    <t>Enter latitude in decimal degrees:</t>
  </si>
  <si>
    <t>Enter longitude in decimal degrees:</t>
  </si>
  <si>
    <t>-----------------^</t>
  </si>
  <si>
    <t xml:space="preserve">Latitude </t>
  </si>
  <si>
    <t xml:space="preserve">Longitude </t>
  </si>
  <si>
    <t>----------------------------------</t>
  </si>
  <si>
    <t>Latitude 2</t>
  </si>
  <si>
    <t>Longitude 2</t>
  </si>
  <si>
    <t>Latitude 1</t>
  </si>
  <si>
    <t>Distance in miles</t>
  </si>
  <si>
    <t>Distance in feet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</si>
  <si>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</si>
  <si>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</si>
  <si>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</si>
  <si>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</si>
  <si>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</si>
  <si>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</si>
  <si>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</si>
  <si>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</si>
  <si>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</si>
  <si>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</si>
  <si>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</si>
  <si>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</si>
  <si>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</si>
  <si>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</si>
  <si>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</si>
  <si>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</si>
  <si>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</si>
  <si>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</si>
  <si>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Letter</t>
  </si>
  <si>
    <t>Number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</si>
  <si>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</si>
  <si>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</si>
  <si>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</si>
  <si>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</si>
  <si>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</si>
  <si>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</si>
  <si>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</si>
  <si>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</si>
  <si>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</si>
  <si>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</si>
  <si>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</si>
  <si>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</si>
  <si>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</si>
  <si>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</si>
  <si>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</si>
  <si>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</si>
  <si>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</si>
  <si>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</si>
  <si>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</si>
  <si>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</si>
  <si>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</si>
  <si>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</si>
  <si>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</si>
  <si>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</si>
  <si>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Longitude</t>
  </si>
  <si>
    <t>Latitude</t>
  </si>
  <si>
    <t>Degrees</t>
  </si>
  <si>
    <t>Seconds</t>
  </si>
  <si>
    <t>Minutes</t>
  </si>
  <si>
    <t xml:space="preserve">to </t>
  </si>
  <si>
    <t>to</t>
  </si>
  <si>
    <t>Since</t>
  </si>
  <si>
    <t>and</t>
  </si>
  <si>
    <t>therefore</t>
  </si>
  <si>
    <t>is equal to</t>
  </si>
  <si>
    <t>in seconds</t>
  </si>
  <si>
    <t>Milliseconds</t>
  </si>
  <si>
    <t>Number of bins</t>
  </si>
  <si>
    <t>Character 13</t>
  </si>
  <si>
    <t>Character 15</t>
  </si>
  <si>
    <t>Character 14</t>
  </si>
  <si>
    <t>Character 16</t>
  </si>
  <si>
    <t>Extract value 12</t>
  </si>
  <si>
    <t>Extract value 11</t>
  </si>
  <si>
    <t>Extract value 13</t>
  </si>
  <si>
    <t>Extract value 14</t>
  </si>
  <si>
    <t>Extract value 15</t>
  </si>
  <si>
    <t>Extract value 16</t>
  </si>
  <si>
    <t>Enter grid locater:</t>
  </si>
  <si>
    <t>Get # characters</t>
  </si>
  <si>
    <t>Extract character 3</t>
  </si>
  <si>
    <t>Extract character 1</t>
  </si>
  <si>
    <t>Extract character 2</t>
  </si>
  <si>
    <t>Extract character 4</t>
  </si>
  <si>
    <t>Extract character 5</t>
  </si>
  <si>
    <t>Extract character 6</t>
  </si>
  <si>
    <t>Extract character 7</t>
  </si>
  <si>
    <t>Extract character 8</t>
  </si>
  <si>
    <t>Extract character 9</t>
  </si>
  <si>
    <t>Extract character 10</t>
  </si>
  <si>
    <t>Extract character 11</t>
  </si>
  <si>
    <t>Extract character 12</t>
  </si>
  <si>
    <t>Extract character 13</t>
  </si>
  <si>
    <t>Extract character 14</t>
  </si>
  <si>
    <t>Extract character 15</t>
  </si>
  <si>
    <t>Extract character 16</t>
  </si>
  <si>
    <t>Calculate character 1 value</t>
  </si>
  <si>
    <t>Calculate character 2 value</t>
  </si>
  <si>
    <t>Calculate character 3 value</t>
  </si>
  <si>
    <t>Calculate character 4 value</t>
  </si>
  <si>
    <t>Calculate character 5 value</t>
  </si>
  <si>
    <t>Calculate character 6 value</t>
  </si>
  <si>
    <t>Calculate character 7 value</t>
  </si>
  <si>
    <t>Calculate character 8 value</t>
  </si>
  <si>
    <t>Calculate character 9 value</t>
  </si>
  <si>
    <t>Calculate character 10 value</t>
  </si>
  <si>
    <t>Calculate character 11 value</t>
  </si>
  <si>
    <t>Calculate character 12 value</t>
  </si>
  <si>
    <t>Calculate character 13 value</t>
  </si>
  <si>
    <t>Calculate character 14 value</t>
  </si>
  <si>
    <t>Calculate character 15 value</t>
  </si>
  <si>
    <t>Calculate character 16 value</t>
  </si>
  <si>
    <t>Add latitudes together</t>
  </si>
  <si>
    <t>Add longitudes together</t>
  </si>
  <si>
    <t>Latitude:</t>
  </si>
  <si>
    <t>Longitude:</t>
  </si>
  <si>
    <t>Convert lon to decimal degrees</t>
  </si>
  <si>
    <t>Convert lat to decimal degrees</t>
  </si>
  <si>
    <t>Longitude degrees</t>
  </si>
  <si>
    <t>Latitude degrees</t>
  </si>
  <si>
    <t>Longitude minutes</t>
  </si>
  <si>
    <t>Latitude minutes</t>
  </si>
  <si>
    <t>Lon Mins</t>
  </si>
  <si>
    <t>Lat Mins</t>
  </si>
  <si>
    <t>Lon Secs</t>
  </si>
  <si>
    <t>Lat Secs</t>
  </si>
  <si>
    <t>Decimal degrees</t>
  </si>
  <si>
    <t>Grid characters</t>
  </si>
  <si>
    <t>Algorithm and calculations in degrees</t>
  </si>
  <si>
    <t>Algorithm and calculations in milliseconds</t>
  </si>
  <si>
    <t>Accuracy</t>
  </si>
  <si>
    <t>Longitude 1</t>
  </si>
  <si>
    <t xml:space="preserve">Enter degrees: </t>
  </si>
  <si>
    <t xml:space="preserve">Enter minutes: </t>
  </si>
  <si>
    <t xml:space="preserve">Coordinates in decimal degrees: </t>
  </si>
  <si>
    <t xml:space="preserve">  &lt;--- Copy and paste to 'Decimal Degree to Grid Convert' tab cells B2 and C2</t>
  </si>
  <si>
    <t>Algorithm and calculations</t>
  </si>
  <si>
    <t>Grid 1 algorithm and calculations</t>
  </si>
  <si>
    <t>Grid 2 algorithm and calculations</t>
  </si>
  <si>
    <t>Latitude decimal</t>
  </si>
  <si>
    <t>Longitude decimal</t>
  </si>
  <si>
    <t>Miles</t>
  </si>
  <si>
    <t>EM42uf13fd66rq60</t>
  </si>
  <si>
    <t>EM31id77sc01go90</t>
  </si>
  <si>
    <t>EM91ad60mw45qt80</t>
  </si>
  <si>
    <t>Table 1</t>
  </si>
  <si>
    <t>Table 2</t>
  </si>
  <si>
    <t>Relationships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</si>
  <si>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</si>
  <si>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</si>
  <si>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</si>
  <si>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</si>
  <si>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</si>
  <si>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</si>
  <si>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</si>
  <si>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</si>
  <si>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</si>
  <si>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</si>
  <si>
    <t>Character 1 from Table 13</t>
  </si>
  <si>
    <t>Character 3 from Table 15</t>
  </si>
  <si>
    <t>Character 5 from Table 17</t>
  </si>
  <si>
    <t>Character 7 from Table 19</t>
  </si>
  <si>
    <t>Character 9 from Table 21</t>
  </si>
  <si>
    <t>Character 11 from Table 23</t>
  </si>
  <si>
    <t>Character 13 from Table 25</t>
  </si>
  <si>
    <t>Character 15 from Table 27</t>
  </si>
  <si>
    <t>Character 2 from Table 14</t>
  </si>
  <si>
    <t>Character 4 from Table 16</t>
  </si>
  <si>
    <t>Character 6 from Table 18</t>
  </si>
  <si>
    <t>Character 8 from Table 20</t>
  </si>
  <si>
    <t>Character 10 from Table 22</t>
  </si>
  <si>
    <t>Character 12 from Table 24</t>
  </si>
  <si>
    <t>Character 14 from Table 26</t>
  </si>
  <si>
    <t>Character 16 from Table 28</t>
  </si>
  <si>
    <t xml:space="preserve">Enter seconds: </t>
  </si>
  <si>
    <t>Enter grid square 1:</t>
  </si>
  <si>
    <t>Enter grid square 2:</t>
  </si>
  <si>
    <r>
      <t xml:space="preserve">Table 13                                                 </t>
    </r>
    <r>
      <rPr>
        <b/>
        <sz val="11"/>
        <color theme="1"/>
        <rFont val="Calibri"/>
        <family val="2"/>
        <scheme val="minor"/>
      </rPr>
      <t>18 bins of 20 degrees and 72000000 milliseconds longitude</t>
    </r>
  </si>
  <si>
    <r>
      <t xml:space="preserve">Table 14                                                    </t>
    </r>
    <r>
      <rPr>
        <b/>
        <sz val="11"/>
        <color theme="1"/>
        <rFont val="Calibri"/>
        <family val="2"/>
        <scheme val="minor"/>
      </rPr>
      <t>18 bins of 10 degrees and 3600000 milliseconds latitude</t>
    </r>
  </si>
  <si>
    <r>
      <t xml:space="preserve">Table 15                                                   </t>
    </r>
    <r>
      <rPr>
        <b/>
        <sz val="11"/>
        <color theme="1"/>
        <rFont val="Calibri"/>
        <family val="2"/>
        <scheme val="minor"/>
      </rPr>
      <t>20 bins of 2 degrees and 7200000 milliseconds longitude</t>
    </r>
  </si>
  <si>
    <r>
      <t xml:space="preserve">Table 16                                                  </t>
    </r>
    <r>
      <rPr>
        <b/>
        <sz val="11"/>
        <color theme="1"/>
        <rFont val="Calibri"/>
        <family val="2"/>
        <scheme val="minor"/>
      </rPr>
      <t>20 bins of 1 degree and 3600000 milliseconds latitude</t>
    </r>
  </si>
  <si>
    <r>
      <t xml:space="preserve">Table 17                                               </t>
    </r>
    <r>
      <rPr>
        <b/>
        <sz val="11"/>
        <color theme="1"/>
        <rFont val="Calibri"/>
        <family val="2"/>
        <scheme val="minor"/>
      </rPr>
      <t>48 bins of 5 minutes and 300000 milliseconds longitude</t>
    </r>
  </si>
  <si>
    <r>
      <t xml:space="preserve">Table 18                                              </t>
    </r>
    <r>
      <rPr>
        <b/>
        <sz val="11"/>
        <color theme="1"/>
        <rFont val="Calibri"/>
        <family val="2"/>
        <scheme val="minor"/>
      </rPr>
      <t>48 bins of 2.5 minutes and 150000 milliseconds latitude</t>
    </r>
  </si>
  <si>
    <r>
      <t xml:space="preserve">Table 19                                                </t>
    </r>
    <r>
      <rPr>
        <b/>
        <sz val="11"/>
        <color theme="1"/>
        <rFont val="Calibri"/>
        <family val="2"/>
        <scheme val="minor"/>
      </rPr>
      <t>20 bins of 30 seconds and 30000 milliseconds longitude</t>
    </r>
  </si>
  <si>
    <r>
      <t xml:space="preserve">Table 20                                                    </t>
    </r>
    <r>
      <rPr>
        <b/>
        <sz val="11"/>
        <color theme="1"/>
        <rFont val="Calibri"/>
        <family val="2"/>
        <scheme val="minor"/>
      </rPr>
      <t>20 bins of 15 seconds and 15000 milliseconds latitude</t>
    </r>
  </si>
  <si>
    <r>
      <t xml:space="preserve">Table 21                                                 </t>
    </r>
    <r>
      <rPr>
        <b/>
        <sz val="11"/>
        <color theme="1"/>
        <rFont val="Calibri"/>
        <family val="2"/>
        <scheme val="minor"/>
      </rPr>
      <t>48 bins of 1.25 seconds and 1250 milliseconds longitude</t>
    </r>
  </si>
  <si>
    <r>
      <t xml:space="preserve">Table 22                                                 </t>
    </r>
    <r>
      <rPr>
        <b/>
        <sz val="11"/>
        <color theme="1"/>
        <rFont val="Calibri"/>
        <family val="2"/>
        <scheme val="minor"/>
      </rPr>
      <t>48 bins of 0.625 seconds and 625 milliseconds latitude</t>
    </r>
  </si>
  <si>
    <r>
      <t xml:space="preserve">Table 23                                                       </t>
    </r>
    <r>
      <rPr>
        <b/>
        <sz val="11"/>
        <color theme="1"/>
        <rFont val="Calibri"/>
        <family val="2"/>
        <scheme val="minor"/>
      </rPr>
      <t>20 bins of 0.125 seconds and 125 milliseconds longitude</t>
    </r>
  </si>
  <si>
    <r>
      <t xml:space="preserve">Table 24                                              </t>
    </r>
    <r>
      <rPr>
        <b/>
        <sz val="11"/>
        <color theme="1"/>
        <rFont val="Calibri"/>
        <family val="2"/>
        <scheme val="minor"/>
      </rPr>
      <t>20 bins of 0.0625 seconds and 62.5 milliseconds latitude</t>
    </r>
  </si>
  <si>
    <r>
      <t xml:space="preserve">Table 25                                              </t>
    </r>
    <r>
      <rPr>
        <b/>
        <sz val="11"/>
        <color theme="1"/>
        <rFont val="Calibri"/>
        <family val="2"/>
        <scheme val="minor"/>
      </rPr>
      <t>48 bins of .005208 seconds and 5.208 milliseconds longitude</t>
    </r>
  </si>
  <si>
    <r>
      <t xml:space="preserve">Table 26                                                        </t>
    </r>
    <r>
      <rPr>
        <b/>
        <sz val="11"/>
        <color theme="1"/>
        <rFont val="Calibri"/>
        <family val="2"/>
        <scheme val="minor"/>
      </rPr>
      <t>48 bins of .002604 seconds and 2.604 milliseconds latitude</t>
    </r>
  </si>
  <si>
    <r>
      <t xml:space="preserve">Table 27                                                         </t>
    </r>
    <r>
      <rPr>
        <b/>
        <sz val="11"/>
        <color theme="1"/>
        <rFont val="Calibri"/>
        <family val="2"/>
        <scheme val="minor"/>
      </rPr>
      <t>20 bins of 0.000520833 seconds and 0.520833 milliseconds longitude</t>
    </r>
  </si>
  <si>
    <r>
      <t xml:space="preserve">Table 28                                                 </t>
    </r>
    <r>
      <rPr>
        <b/>
        <sz val="11"/>
        <color theme="1"/>
        <rFont val="Calibri"/>
        <family val="2"/>
        <scheme val="minor"/>
      </rPr>
      <t>20 bins of .0002604 seconds and 0.2604 milliseconds latitude</t>
    </r>
  </si>
</sst>
</file>

<file path=xl/styles.xml><?xml version="1.0" encoding="utf-8"?>
<styleSheet xmlns="http://schemas.openxmlformats.org/spreadsheetml/2006/main">
  <numFmts count="8">
    <numFmt numFmtId="164" formatCode="0.000000"/>
    <numFmt numFmtId="165" formatCode="0.00000000"/>
    <numFmt numFmtId="166" formatCode="0.0"/>
    <numFmt numFmtId="167" formatCode="0.000"/>
    <numFmt numFmtId="168" formatCode="0.0000"/>
    <numFmt numFmtId="169" formatCode="0.0000000"/>
    <numFmt numFmtId="170" formatCode="0.00000"/>
    <numFmt numFmtId="171" formatCode="0.0000000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2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3" xfId="0" applyBorder="1"/>
    <xf numFmtId="164" fontId="0" fillId="4" borderId="8" xfId="0" quotePrefix="1" applyNumberFormat="1" applyFill="1" applyBorder="1" applyAlignment="1">
      <alignment horizontal="left" vertical="center"/>
    </xf>
    <xf numFmtId="164" fontId="0" fillId="4" borderId="10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4" borderId="14" xfId="0" quotePrefix="1" applyNumberFormat="1" applyFill="1" applyBorder="1" applyAlignment="1">
      <alignment horizontal="center" vertical="center"/>
    </xf>
    <xf numFmtId="10" fontId="0" fillId="0" borderId="0" xfId="0" applyNumberFormat="1"/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2" fontId="0" fillId="0" borderId="0" xfId="0" applyNumberFormat="1"/>
    <xf numFmtId="2" fontId="1" fillId="0" borderId="15" xfId="0" applyNumberFormat="1" applyFont="1" applyBorder="1" applyAlignment="1">
      <alignment horizontal="center" vertical="center"/>
    </xf>
    <xf numFmtId="167" fontId="0" fillId="0" borderId="0" xfId="0" applyNumberFormat="1"/>
    <xf numFmtId="167" fontId="1" fillId="0" borderId="15" xfId="0" applyNumberFormat="1" applyFon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/>
    </xf>
    <xf numFmtId="168" fontId="0" fillId="0" borderId="0" xfId="0" applyNumberFormat="1"/>
    <xf numFmtId="168" fontId="1" fillId="0" borderId="15" xfId="0" applyNumberFormat="1" applyFon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11" xfId="0" applyNumberFormat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9" fontId="0" fillId="0" borderId="18" xfId="0" applyNumberFormat="1" applyBorder="1" applyAlignment="1">
      <alignment horizontal="center" vertical="center"/>
    </xf>
    <xf numFmtId="16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9" fontId="0" fillId="0" borderId="21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1" fontId="0" fillId="0" borderId="11" xfId="0" applyNumberFormat="1" applyBorder="1" applyAlignment="1">
      <alignment horizontal="center" vertical="center"/>
    </xf>
    <xf numFmtId="171" fontId="0" fillId="0" borderId="0" xfId="0" applyNumberFormat="1"/>
    <xf numFmtId="171" fontId="1" fillId="0" borderId="15" xfId="0" applyNumberFormat="1" applyFont="1" applyBorder="1" applyAlignment="1">
      <alignment horizontal="center" vertical="center"/>
    </xf>
    <xf numFmtId="171" fontId="0" fillId="0" borderId="9" xfId="0" applyNumberFormat="1" applyBorder="1" applyAlignment="1">
      <alignment horizontal="center" vertical="center"/>
    </xf>
    <xf numFmtId="171" fontId="0" fillId="0" borderId="12" xfId="0" applyNumberFormat="1" applyBorder="1" applyAlignment="1">
      <alignment horizontal="center" vertical="center"/>
    </xf>
    <xf numFmtId="171" fontId="0" fillId="0" borderId="0" xfId="0" applyNumberFormat="1" applyBorder="1" applyAlignment="1">
      <alignment horizontal="center" vertical="center"/>
    </xf>
    <xf numFmtId="170" fontId="0" fillId="0" borderId="0" xfId="0" applyNumberFormat="1"/>
    <xf numFmtId="0" fontId="0" fillId="5" borderId="24" xfId="0" applyFill="1" applyBorder="1" applyAlignment="1">
      <alignment horizontal="center" vertical="center"/>
    </xf>
    <xf numFmtId="1" fontId="0" fillId="5" borderId="25" xfId="0" applyNumberFormat="1" applyFill="1" applyBorder="1" applyAlignment="1">
      <alignment horizontal="center" vertical="center"/>
    </xf>
    <xf numFmtId="164" fontId="0" fillId="5" borderId="26" xfId="0" applyNumberForma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170" fontId="0" fillId="0" borderId="17" xfId="0" applyNumberFormat="1" applyBorder="1" applyAlignment="1">
      <alignment horizontal="center" vertical="center"/>
    </xf>
    <xf numFmtId="169" fontId="0" fillId="0" borderId="20" xfId="0" applyNumberFormat="1" applyBorder="1" applyAlignment="1">
      <alignment horizontal="center" vertical="center"/>
    </xf>
    <xf numFmtId="164" fontId="0" fillId="4" borderId="24" xfId="0" applyNumberFormat="1" applyFill="1" applyBorder="1" applyAlignment="1">
      <alignment horizontal="center" vertical="center"/>
    </xf>
    <xf numFmtId="164" fontId="0" fillId="5" borderId="24" xfId="0" applyNumberForma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167" fontId="0" fillId="0" borderId="19" xfId="0" applyNumberFormat="1" applyBorder="1" applyAlignment="1">
      <alignment horizontal="center" vertical="center"/>
    </xf>
    <xf numFmtId="168" fontId="0" fillId="0" borderId="22" xfId="0" applyNumberFormat="1" applyBorder="1" applyAlignment="1">
      <alignment horizontal="center" vertical="center"/>
    </xf>
    <xf numFmtId="1" fontId="0" fillId="4" borderId="26" xfId="0" applyNumberFormat="1" applyFill="1" applyBorder="1" applyAlignment="1">
      <alignment horizontal="center" vertical="center"/>
    </xf>
    <xf numFmtId="1" fontId="0" fillId="5" borderId="26" xfId="0" applyNumberForma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7" fontId="4" fillId="0" borderId="50" xfId="0" applyNumberFormat="1" applyFont="1" applyBorder="1" applyAlignment="1">
      <alignment horizontal="center" vertical="center"/>
    </xf>
    <xf numFmtId="165" fontId="0" fillId="4" borderId="37" xfId="0" applyNumberForma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65" fontId="0" fillId="5" borderId="37" xfId="0" applyNumberForma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65" fontId="0" fillId="2" borderId="23" xfId="0" applyNumberForma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0" borderId="53" xfId="0" applyBorder="1" applyAlignment="1">
      <alignment horizontal="right"/>
    </xf>
    <xf numFmtId="0" fontId="0" fillId="0" borderId="54" xfId="0" applyBorder="1" applyAlignment="1">
      <alignment horizontal="right"/>
    </xf>
    <xf numFmtId="0" fontId="0" fillId="0" borderId="34" xfId="0" applyBorder="1" applyAlignment="1">
      <alignment horizontal="right"/>
    </xf>
    <xf numFmtId="0" fontId="0" fillId="0" borderId="55" xfId="0" applyBorder="1" applyAlignment="1">
      <alignment horizontal="right"/>
    </xf>
    <xf numFmtId="0" fontId="0" fillId="0" borderId="5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7" xfId="0" applyBorder="1" applyAlignment="1">
      <alignment horizontal="right"/>
    </xf>
    <xf numFmtId="0" fontId="0" fillId="5" borderId="58" xfId="0" applyFill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169" fontId="0" fillId="0" borderId="52" xfId="0" applyNumberFormat="1" applyBorder="1" applyAlignment="1">
      <alignment horizontal="center" vertical="center"/>
    </xf>
    <xf numFmtId="169" fontId="0" fillId="0" borderId="32" xfId="0" applyNumberForma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168" fontId="0" fillId="0" borderId="61" xfId="0" applyNumberFormat="1" applyBorder="1" applyAlignment="1">
      <alignment horizontal="center" vertical="center"/>
    </xf>
    <xf numFmtId="168" fontId="0" fillId="0" borderId="62" xfId="0" applyNumberFormat="1" applyBorder="1" applyAlignment="1">
      <alignment horizontal="center" vertical="center"/>
    </xf>
    <xf numFmtId="168" fontId="0" fillId="0" borderId="63" xfId="0" applyNumberFormat="1" applyBorder="1" applyAlignment="1">
      <alignment horizontal="center" vertical="center"/>
    </xf>
    <xf numFmtId="164" fontId="0" fillId="5" borderId="65" xfId="0" applyNumberFormat="1" applyFill="1" applyBorder="1" applyAlignment="1">
      <alignment horizontal="center" vertical="center"/>
    </xf>
    <xf numFmtId="0" fontId="1" fillId="5" borderId="68" xfId="0" applyFont="1" applyFill="1" applyBorder="1"/>
    <xf numFmtId="0" fontId="0" fillId="0" borderId="17" xfId="0" applyBorder="1"/>
    <xf numFmtId="0" fontId="0" fillId="0" borderId="19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20" xfId="0" applyBorder="1"/>
    <xf numFmtId="0" fontId="0" fillId="0" borderId="22" xfId="0" applyBorder="1" applyAlignment="1">
      <alignment horizontal="center"/>
    </xf>
    <xf numFmtId="0" fontId="0" fillId="0" borderId="24" xfId="0" applyBorder="1"/>
    <xf numFmtId="0" fontId="0" fillId="0" borderId="26" xfId="0" applyBorder="1" applyAlignment="1">
      <alignment horizont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169" fontId="0" fillId="7" borderId="18" xfId="0" applyNumberFormat="1" applyFill="1" applyBorder="1" applyAlignment="1">
      <alignment horizontal="center" vertical="center"/>
    </xf>
    <xf numFmtId="169" fontId="0" fillId="7" borderId="19" xfId="0" applyNumberFormat="1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NumberForma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9" fillId="0" borderId="38" xfId="0" applyFont="1" applyBorder="1" applyAlignment="1">
      <alignment horizontal="center" vertical="center"/>
    </xf>
    <xf numFmtId="0" fontId="1" fillId="4" borderId="72" xfId="0" applyFont="1" applyFill="1" applyBorder="1"/>
    <xf numFmtId="164" fontId="0" fillId="4" borderId="76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1" fontId="0" fillId="4" borderId="77" xfId="0" applyNumberFormat="1" applyFill="1" applyBorder="1" applyAlignment="1">
      <alignment horizontal="center" vertical="center"/>
    </xf>
    <xf numFmtId="0" fontId="0" fillId="0" borderId="42" xfId="0" applyBorder="1"/>
    <xf numFmtId="0" fontId="0" fillId="0" borderId="41" xfId="0" applyBorder="1" applyAlignment="1">
      <alignment horizontal="center"/>
    </xf>
    <xf numFmtId="0" fontId="0" fillId="0" borderId="41" xfId="0" applyBorder="1"/>
    <xf numFmtId="0" fontId="0" fillId="0" borderId="43" xfId="0" applyBorder="1"/>
    <xf numFmtId="164" fontId="0" fillId="4" borderId="25" xfId="0" applyNumberFormat="1" applyFill="1" applyBorder="1" applyAlignment="1">
      <alignment horizontal="center" vertical="center"/>
    </xf>
    <xf numFmtId="164" fontId="0" fillId="4" borderId="21" xfId="0" applyNumberFormat="1" applyFill="1" applyBorder="1" applyAlignment="1">
      <alignment horizontal="center" vertical="center"/>
    </xf>
    <xf numFmtId="164" fontId="0" fillId="5" borderId="80" xfId="0" applyNumberFormat="1" applyFill="1" applyBorder="1" applyAlignment="1">
      <alignment horizontal="center" vertical="center"/>
    </xf>
    <xf numFmtId="164" fontId="0" fillId="5" borderId="73" xfId="0" applyNumberFormat="1" applyFill="1" applyBorder="1" applyAlignment="1">
      <alignment horizontal="center" vertical="center"/>
    </xf>
    <xf numFmtId="0" fontId="1" fillId="3" borderId="17" xfId="0" applyFont="1" applyFill="1" applyBorder="1"/>
    <xf numFmtId="0" fontId="1" fillId="3" borderId="20" xfId="0" applyFont="1" applyFill="1" applyBorder="1"/>
    <xf numFmtId="0" fontId="1" fillId="5" borderId="81" xfId="0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170" fontId="4" fillId="2" borderId="49" xfId="0" applyNumberFormat="1" applyFont="1" applyFill="1" applyBorder="1" applyAlignment="1">
      <alignment horizontal="center" vertical="center"/>
    </xf>
    <xf numFmtId="164" fontId="9" fillId="5" borderId="46" xfId="0" applyNumberFormat="1" applyFon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164" fontId="9" fillId="5" borderId="51" xfId="0" applyNumberFormat="1" applyFont="1" applyFill="1" applyBorder="1" applyAlignment="1">
      <alignment horizontal="center" vertical="center"/>
    </xf>
    <xf numFmtId="164" fontId="0" fillId="5" borderId="52" xfId="0" applyNumberFormat="1" applyFill="1" applyBorder="1" applyAlignment="1">
      <alignment horizontal="center" vertical="center"/>
    </xf>
    <xf numFmtId="164" fontId="0" fillId="5" borderId="32" xfId="0" applyNumberFormat="1" applyFill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164" fontId="9" fillId="4" borderId="60" xfId="0" applyNumberFormat="1" applyFont="1" applyFill="1" applyBorder="1" applyAlignment="1">
      <alignment horizontal="center" vertical="center"/>
    </xf>
    <xf numFmtId="164" fontId="0" fillId="4" borderId="61" xfId="0" applyNumberFormat="1" applyFill="1" applyBorder="1" applyAlignment="1">
      <alignment horizontal="center" vertical="center"/>
    </xf>
    <xf numFmtId="164" fontId="0" fillId="4" borderId="62" xfId="0" applyNumberFormat="1" applyFill="1" applyBorder="1" applyAlignment="1">
      <alignment horizontal="center" vertical="center"/>
    </xf>
    <xf numFmtId="164" fontId="0" fillId="4" borderId="63" xfId="0" applyNumberFormat="1" applyFill="1" applyBorder="1" applyAlignment="1">
      <alignment horizontal="center" vertical="center"/>
    </xf>
    <xf numFmtId="0" fontId="0" fillId="0" borderId="13" xfId="0" applyBorder="1"/>
    <xf numFmtId="0" fontId="0" fillId="0" borderId="87" xfId="0" applyBorder="1"/>
    <xf numFmtId="0" fontId="10" fillId="3" borderId="1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8" xfId="0" applyFont="1" applyBorder="1" applyAlignment="1"/>
    <xf numFmtId="0" fontId="9" fillId="0" borderId="39" xfId="0" applyFont="1" applyBorder="1" applyAlignment="1"/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1" fontId="9" fillId="0" borderId="46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0" fillId="3" borderId="68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70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40" xfId="0" applyBorder="1" applyAlignment="1">
      <alignment wrapText="1"/>
    </xf>
    <xf numFmtId="0" fontId="0" fillId="0" borderId="8" xfId="0" applyBorder="1" applyAlignment="1">
      <alignment wrapText="1"/>
    </xf>
    <xf numFmtId="2" fontId="1" fillId="4" borderId="7" xfId="0" applyNumberFormat="1" applyFont="1" applyFill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 wrapText="1"/>
    </xf>
    <xf numFmtId="167" fontId="1" fillId="5" borderId="7" xfId="0" applyNumberFormat="1" applyFont="1" applyFill="1" applyBorder="1" applyAlignment="1">
      <alignment horizontal="center" vertical="center"/>
    </xf>
    <xf numFmtId="167" fontId="9" fillId="0" borderId="42" xfId="0" applyNumberFormat="1" applyFont="1" applyBorder="1" applyAlignment="1">
      <alignment horizontal="center" vertical="center" wrapText="1"/>
    </xf>
    <xf numFmtId="167" fontId="1" fillId="4" borderId="7" xfId="0" applyNumberFormat="1" applyFont="1" applyFill="1" applyBorder="1" applyAlignment="1">
      <alignment horizontal="center" vertical="center"/>
    </xf>
    <xf numFmtId="168" fontId="1" fillId="5" borderId="7" xfId="0" applyNumberFormat="1" applyFont="1" applyFill="1" applyBorder="1" applyAlignment="1">
      <alignment horizontal="center" vertical="center"/>
    </xf>
    <xf numFmtId="168" fontId="9" fillId="0" borderId="42" xfId="0" applyNumberFormat="1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171" fontId="9" fillId="0" borderId="4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1"/>
  <sheetViews>
    <sheetView workbookViewId="0">
      <selection activeCell="H1" sqref="H1"/>
    </sheetView>
  </sheetViews>
  <sheetFormatPr defaultRowHeight="15"/>
  <cols>
    <col min="1" max="1" width="4.5703125" customWidth="1"/>
    <col min="2" max="2" width="14.28515625" style="1" customWidth="1"/>
    <col min="3" max="3" width="15.42578125" style="1" customWidth="1"/>
    <col min="4" max="4" width="12.7109375" style="1" customWidth="1"/>
    <col min="5" max="5" width="12.85546875" style="1" customWidth="1"/>
    <col min="6" max="6" width="11.5703125" style="1" customWidth="1"/>
    <col min="7" max="7" width="12.85546875" customWidth="1"/>
    <col min="8" max="8" width="10.28515625" customWidth="1"/>
    <col min="9" max="9" width="15" customWidth="1"/>
    <col min="10" max="10" width="14" style="1" customWidth="1"/>
    <col min="11" max="11" width="12.85546875" style="1" customWidth="1"/>
    <col min="12" max="12" width="13.5703125" style="1" customWidth="1"/>
    <col min="13" max="13" width="15.42578125" style="1" customWidth="1"/>
    <col min="14" max="14" width="9.140625" style="1"/>
  </cols>
  <sheetData>
    <row r="1" spans="2:14" ht="15.75" thickBot="1"/>
    <row r="2" spans="2:14" ht="18.75">
      <c r="B2" s="65"/>
      <c r="C2" s="223" t="s">
        <v>90</v>
      </c>
      <c r="D2" s="223"/>
      <c r="E2" s="67"/>
      <c r="F2" s="221" t="s">
        <v>101</v>
      </c>
      <c r="N2"/>
    </row>
    <row r="3" spans="2:14" ht="15.75" thickBot="1">
      <c r="B3" s="66"/>
      <c r="C3" s="64" t="s">
        <v>88</v>
      </c>
      <c r="D3" s="64" t="s">
        <v>89</v>
      </c>
      <c r="E3" s="68"/>
      <c r="F3" s="222"/>
      <c r="N3"/>
    </row>
    <row r="4" spans="2:14" ht="15.75" thickTop="1">
      <c r="B4" s="159" t="s">
        <v>17</v>
      </c>
      <c r="C4" s="160">
        <v>20</v>
      </c>
      <c r="D4" s="160">
        <v>10</v>
      </c>
      <c r="E4" s="161" t="s">
        <v>23</v>
      </c>
      <c r="F4" s="162">
        <v>18</v>
      </c>
      <c r="N4"/>
    </row>
    <row r="5" spans="2:14">
      <c r="B5" s="163" t="s">
        <v>18</v>
      </c>
      <c r="C5" s="164">
        <v>2</v>
      </c>
      <c r="D5" s="164">
        <v>1</v>
      </c>
      <c r="E5" s="165" t="s">
        <v>24</v>
      </c>
      <c r="F5" s="166">
        <v>10</v>
      </c>
      <c r="N5"/>
    </row>
    <row r="6" spans="2:14">
      <c r="B6" s="163" t="s">
        <v>19</v>
      </c>
      <c r="C6" s="167">
        <f t="shared" ref="C6:D9" si="0">C29/3600</f>
        <v>8.3333333333333329E-2</v>
      </c>
      <c r="D6" s="167">
        <f t="shared" si="0"/>
        <v>4.1666666666666664E-2</v>
      </c>
      <c r="E6" s="168" t="s">
        <v>25</v>
      </c>
      <c r="F6" s="166">
        <v>24</v>
      </c>
      <c r="N6"/>
    </row>
    <row r="7" spans="2:14">
      <c r="B7" s="163" t="s">
        <v>20</v>
      </c>
      <c r="C7" s="167">
        <f t="shared" si="0"/>
        <v>8.3333333333333332E-3</v>
      </c>
      <c r="D7" s="167">
        <f t="shared" si="0"/>
        <v>4.1666666666666666E-3</v>
      </c>
      <c r="E7" s="168" t="s">
        <v>26</v>
      </c>
      <c r="F7" s="166">
        <v>10</v>
      </c>
      <c r="N7"/>
    </row>
    <row r="8" spans="2:14">
      <c r="B8" s="55" t="s">
        <v>21</v>
      </c>
      <c r="C8" s="58">
        <f t="shared" si="0"/>
        <v>3.4722222222222224E-4</v>
      </c>
      <c r="D8" s="58">
        <f t="shared" si="0"/>
        <v>1.7361111111111112E-4</v>
      </c>
      <c r="E8" s="59" t="s">
        <v>27</v>
      </c>
      <c r="F8" s="71">
        <v>24</v>
      </c>
      <c r="N8"/>
    </row>
    <row r="9" spans="2:14">
      <c r="B9" s="55" t="s">
        <v>22</v>
      </c>
      <c r="C9" s="58">
        <f t="shared" si="0"/>
        <v>3.4722222222222222E-5</v>
      </c>
      <c r="D9" s="58">
        <f t="shared" si="0"/>
        <v>1.7361111111111111E-5</v>
      </c>
      <c r="E9" s="59" t="s">
        <v>28</v>
      </c>
      <c r="F9" s="71">
        <v>10</v>
      </c>
      <c r="N9"/>
    </row>
    <row r="10" spans="2:14">
      <c r="B10" s="55" t="s">
        <v>102</v>
      </c>
      <c r="C10" s="58">
        <f t="shared" ref="C10:D11" si="1">C33/3600</f>
        <v>1.4467592592592592E-6</v>
      </c>
      <c r="D10" s="58">
        <f t="shared" si="1"/>
        <v>7.2337962962962959E-7</v>
      </c>
      <c r="E10" s="57" t="s">
        <v>104</v>
      </c>
      <c r="F10" s="71">
        <v>24</v>
      </c>
      <c r="N10"/>
    </row>
    <row r="11" spans="2:14" ht="15.75" thickBot="1">
      <c r="B11" s="60" t="s">
        <v>103</v>
      </c>
      <c r="C11" s="61">
        <f t="shared" si="1"/>
        <v>1.4467592592592592E-7</v>
      </c>
      <c r="D11" s="61">
        <f t="shared" si="1"/>
        <v>7.2337962962962962E-8</v>
      </c>
      <c r="E11" s="70" t="s">
        <v>105</v>
      </c>
      <c r="F11" s="72">
        <v>10</v>
      </c>
      <c r="N11"/>
    </row>
    <row r="12" spans="2:14" ht="19.5" thickBot="1">
      <c r="B12" s="232" t="s">
        <v>179</v>
      </c>
      <c r="C12" s="233"/>
      <c r="D12" s="233"/>
      <c r="E12" s="233"/>
      <c r="F12" s="234"/>
      <c r="N12"/>
    </row>
    <row r="13" spans="2:14" ht="15.75" thickBot="1"/>
    <row r="14" spans="2:14" ht="18.75">
      <c r="B14" s="65"/>
      <c r="C14" s="225" t="s">
        <v>92</v>
      </c>
      <c r="D14" s="225"/>
      <c r="E14" s="67"/>
      <c r="F14" s="221" t="s">
        <v>101</v>
      </c>
    </row>
    <row r="15" spans="2:14" ht="15.75" thickBot="1">
      <c r="B15" s="66"/>
      <c r="C15" s="64" t="s">
        <v>88</v>
      </c>
      <c r="D15" s="64" t="s">
        <v>89</v>
      </c>
      <c r="E15" s="68"/>
      <c r="F15" s="222"/>
    </row>
    <row r="16" spans="2:14" ht="15.75" thickTop="1">
      <c r="B16" s="159" t="s">
        <v>17</v>
      </c>
      <c r="C16" s="160">
        <f>C4*60</f>
        <v>1200</v>
      </c>
      <c r="D16" s="160">
        <f>D4*60</f>
        <v>600</v>
      </c>
      <c r="E16" s="161" t="s">
        <v>23</v>
      </c>
      <c r="F16" s="162">
        <v>18</v>
      </c>
    </row>
    <row r="17" spans="2:6">
      <c r="B17" s="163" t="s">
        <v>18</v>
      </c>
      <c r="C17" s="164">
        <f>C5*60</f>
        <v>120</v>
      </c>
      <c r="D17" s="164">
        <f>D5*60</f>
        <v>60</v>
      </c>
      <c r="E17" s="165" t="s">
        <v>24</v>
      </c>
      <c r="F17" s="166">
        <v>10</v>
      </c>
    </row>
    <row r="18" spans="2:6">
      <c r="B18" s="163" t="s">
        <v>19</v>
      </c>
      <c r="C18" s="169">
        <f t="shared" ref="C18:D21" si="2">C29/60</f>
        <v>5</v>
      </c>
      <c r="D18" s="169">
        <f t="shared" si="2"/>
        <v>2.5</v>
      </c>
      <c r="E18" s="168" t="s">
        <v>25</v>
      </c>
      <c r="F18" s="166">
        <v>24</v>
      </c>
    </row>
    <row r="19" spans="2:6">
      <c r="B19" s="163" t="s">
        <v>20</v>
      </c>
      <c r="C19" s="169">
        <f t="shared" si="2"/>
        <v>0.5</v>
      </c>
      <c r="D19" s="169">
        <f t="shared" si="2"/>
        <v>0.25</v>
      </c>
      <c r="E19" s="168" t="s">
        <v>26</v>
      </c>
      <c r="F19" s="166">
        <v>10</v>
      </c>
    </row>
    <row r="20" spans="2:6">
      <c r="B20" s="55" t="s">
        <v>21</v>
      </c>
      <c r="C20" s="58">
        <f t="shared" si="2"/>
        <v>2.0833333333333332E-2</v>
      </c>
      <c r="D20" s="58">
        <f t="shared" si="2"/>
        <v>1.0416666666666666E-2</v>
      </c>
      <c r="E20" s="59" t="s">
        <v>27</v>
      </c>
      <c r="F20" s="71">
        <v>24</v>
      </c>
    </row>
    <row r="21" spans="2:6">
      <c r="B21" s="55" t="s">
        <v>22</v>
      </c>
      <c r="C21" s="58">
        <f t="shared" si="2"/>
        <v>2.0833333333333333E-3</v>
      </c>
      <c r="D21" s="58">
        <f t="shared" si="2"/>
        <v>1.0416666666666667E-3</v>
      </c>
      <c r="E21" s="59" t="s">
        <v>28</v>
      </c>
      <c r="F21" s="71">
        <v>10</v>
      </c>
    </row>
    <row r="22" spans="2:6">
      <c r="B22" s="55" t="s">
        <v>102</v>
      </c>
      <c r="C22" s="58">
        <f t="shared" ref="C22:D22" si="3">C33/60</f>
        <v>8.6805555555555545E-5</v>
      </c>
      <c r="D22" s="58">
        <f t="shared" si="3"/>
        <v>4.3402777777777773E-5</v>
      </c>
      <c r="E22" s="57" t="s">
        <v>104</v>
      </c>
      <c r="F22" s="71">
        <v>24</v>
      </c>
    </row>
    <row r="23" spans="2:6" ht="15.75" thickBot="1">
      <c r="B23" s="60" t="s">
        <v>103</v>
      </c>
      <c r="C23" s="61">
        <f t="shared" ref="C23:D23" si="4">C34/60</f>
        <v>8.6805555555555555E-6</v>
      </c>
      <c r="D23" s="61">
        <f t="shared" si="4"/>
        <v>4.3402777777777778E-6</v>
      </c>
      <c r="E23" s="70" t="s">
        <v>105</v>
      </c>
      <c r="F23" s="72">
        <v>10</v>
      </c>
    </row>
    <row r="24" spans="2:6" ht="15.75" thickBot="1"/>
    <row r="25" spans="2:6" ht="15" customHeight="1">
      <c r="B25" s="65"/>
      <c r="C25" s="224" t="s">
        <v>91</v>
      </c>
      <c r="D25" s="224"/>
      <c r="E25" s="67"/>
      <c r="F25" s="221" t="s">
        <v>101</v>
      </c>
    </row>
    <row r="26" spans="2:6" ht="15.75" thickBot="1">
      <c r="B26" s="66"/>
      <c r="C26" s="64" t="s">
        <v>88</v>
      </c>
      <c r="D26" s="64" t="s">
        <v>89</v>
      </c>
      <c r="E26" s="68"/>
      <c r="F26" s="222"/>
    </row>
    <row r="27" spans="2:6" ht="15.75" thickTop="1">
      <c r="B27" s="159" t="s">
        <v>17</v>
      </c>
      <c r="C27" s="160">
        <f>C4*3600</f>
        <v>72000</v>
      </c>
      <c r="D27" s="160">
        <f>D4*3600</f>
        <v>36000</v>
      </c>
      <c r="E27" s="161" t="s">
        <v>23</v>
      </c>
      <c r="F27" s="162">
        <v>18</v>
      </c>
    </row>
    <row r="28" spans="2:6">
      <c r="B28" s="163" t="s">
        <v>18</v>
      </c>
      <c r="C28" s="164">
        <f>C5*3600</f>
        <v>7200</v>
      </c>
      <c r="D28" s="164">
        <f>D5*3600</f>
        <v>3600</v>
      </c>
      <c r="E28" s="165" t="s">
        <v>24</v>
      </c>
      <c r="F28" s="166">
        <v>10</v>
      </c>
    </row>
    <row r="29" spans="2:6">
      <c r="B29" s="163" t="s">
        <v>19</v>
      </c>
      <c r="C29" s="170">
        <v>300</v>
      </c>
      <c r="D29" s="170">
        <v>150</v>
      </c>
      <c r="E29" s="168" t="s">
        <v>25</v>
      </c>
      <c r="F29" s="166">
        <v>24</v>
      </c>
    </row>
    <row r="30" spans="2:6">
      <c r="B30" s="163" t="s">
        <v>20</v>
      </c>
      <c r="C30" s="170">
        <v>30</v>
      </c>
      <c r="D30" s="170">
        <v>15</v>
      </c>
      <c r="E30" s="168" t="s">
        <v>26</v>
      </c>
      <c r="F30" s="166">
        <v>10</v>
      </c>
    </row>
    <row r="31" spans="2:6">
      <c r="B31" s="55" t="s">
        <v>21</v>
      </c>
      <c r="C31" s="58">
        <f>C29/240</f>
        <v>1.25</v>
      </c>
      <c r="D31" s="58">
        <f>D29/240</f>
        <v>0.625</v>
      </c>
      <c r="E31" s="59" t="s">
        <v>27</v>
      </c>
      <c r="F31" s="71">
        <v>24</v>
      </c>
    </row>
    <row r="32" spans="2:6">
      <c r="B32" s="55" t="s">
        <v>22</v>
      </c>
      <c r="C32" s="58">
        <v>0.125</v>
      </c>
      <c r="D32" s="58">
        <v>6.25E-2</v>
      </c>
      <c r="E32" s="59" t="s">
        <v>28</v>
      </c>
      <c r="F32" s="71">
        <v>10</v>
      </c>
    </row>
    <row r="33" spans="2:14">
      <c r="B33" s="55" t="s">
        <v>102</v>
      </c>
      <c r="C33" s="56">
        <f>C31/240</f>
        <v>5.208333333333333E-3</v>
      </c>
      <c r="D33" s="56">
        <f>D31/240</f>
        <v>2.6041666666666665E-3</v>
      </c>
      <c r="E33" s="57" t="s">
        <v>104</v>
      </c>
      <c r="F33" s="71">
        <v>24</v>
      </c>
    </row>
    <row r="34" spans="2:14" ht="15.75" thickBot="1">
      <c r="B34" s="60" t="s">
        <v>103</v>
      </c>
      <c r="C34" s="69">
        <f>C33/10</f>
        <v>5.2083333333333333E-4</v>
      </c>
      <c r="D34" s="69">
        <f>D33/10</f>
        <v>2.6041666666666666E-4</v>
      </c>
      <c r="E34" s="70" t="s">
        <v>105</v>
      </c>
      <c r="F34" s="72">
        <v>10</v>
      </c>
    </row>
    <row r="35" spans="2:14" ht="19.5" thickBot="1">
      <c r="B35" s="232" t="s">
        <v>180</v>
      </c>
      <c r="C35" s="233"/>
      <c r="D35" s="233"/>
      <c r="E35" s="233"/>
      <c r="F35" s="234"/>
    </row>
    <row r="36" spans="2:14" ht="15.75" thickBot="1">
      <c r="B36" s="8"/>
      <c r="C36" s="8"/>
      <c r="D36" s="8"/>
      <c r="E36" s="8"/>
      <c r="F36" s="8"/>
    </row>
    <row r="37" spans="2:14" ht="19.5" thickBot="1">
      <c r="B37" s="232" t="s">
        <v>181</v>
      </c>
      <c r="C37" s="235"/>
      <c r="D37" s="235"/>
      <c r="E37" s="235"/>
      <c r="F37" s="235"/>
      <c r="G37" s="235"/>
      <c r="H37" s="235"/>
      <c r="I37" s="236"/>
    </row>
    <row r="38" spans="2:14">
      <c r="B38" s="226">
        <v>1</v>
      </c>
      <c r="C38" s="198" t="s">
        <v>95</v>
      </c>
      <c r="D38" s="199" t="s">
        <v>17</v>
      </c>
      <c r="E38" s="199" t="s">
        <v>93</v>
      </c>
      <c r="F38" s="199" t="s">
        <v>19</v>
      </c>
      <c r="G38" s="199" t="s">
        <v>99</v>
      </c>
      <c r="H38" s="199" t="s">
        <v>98</v>
      </c>
      <c r="I38" s="200">
        <f>C27/C29</f>
        <v>240</v>
      </c>
      <c r="N38"/>
    </row>
    <row r="39" spans="2:14">
      <c r="B39" s="227"/>
      <c r="C39" s="201" t="s">
        <v>96</v>
      </c>
      <c r="D39" s="202" t="s">
        <v>23</v>
      </c>
      <c r="E39" s="202" t="s">
        <v>93</v>
      </c>
      <c r="F39" s="202" t="s">
        <v>25</v>
      </c>
      <c r="G39" s="202" t="s">
        <v>99</v>
      </c>
      <c r="H39" s="202" t="s">
        <v>98</v>
      </c>
      <c r="I39" s="144">
        <f>D27/D29</f>
        <v>240</v>
      </c>
      <c r="N39"/>
    </row>
    <row r="40" spans="2:14">
      <c r="B40" s="227"/>
      <c r="C40" s="201" t="s">
        <v>97</v>
      </c>
      <c r="D40" s="202" t="s">
        <v>19</v>
      </c>
      <c r="E40" s="202" t="s">
        <v>94</v>
      </c>
      <c r="F40" s="202" t="s">
        <v>21</v>
      </c>
      <c r="G40" s="202" t="s">
        <v>99</v>
      </c>
      <c r="H40" s="202" t="s">
        <v>98</v>
      </c>
      <c r="I40" s="144">
        <f>C29/C31</f>
        <v>240</v>
      </c>
      <c r="N40"/>
    </row>
    <row r="41" spans="2:14">
      <c r="B41" s="227"/>
      <c r="C41" s="201" t="s">
        <v>96</v>
      </c>
      <c r="D41" s="202" t="s">
        <v>25</v>
      </c>
      <c r="E41" s="202" t="s">
        <v>94</v>
      </c>
      <c r="F41" s="202" t="s">
        <v>27</v>
      </c>
      <c r="G41" s="202" t="s">
        <v>99</v>
      </c>
      <c r="H41" s="202" t="s">
        <v>98</v>
      </c>
      <c r="I41" s="144">
        <f>D29/D31</f>
        <v>240</v>
      </c>
      <c r="N41"/>
    </row>
    <row r="42" spans="2:14" ht="14.25" customHeight="1">
      <c r="B42" s="227"/>
      <c r="C42" s="201" t="s">
        <v>96</v>
      </c>
      <c r="D42" s="202" t="s">
        <v>21</v>
      </c>
      <c r="E42" s="202" t="s">
        <v>94</v>
      </c>
      <c r="F42" s="202" t="s">
        <v>102</v>
      </c>
      <c r="G42" s="202" t="s">
        <v>99</v>
      </c>
      <c r="H42" s="202" t="s">
        <v>98</v>
      </c>
      <c r="I42" s="144">
        <f>C31/C33</f>
        <v>240</v>
      </c>
      <c r="N42"/>
    </row>
    <row r="43" spans="2:14" ht="14.25" customHeight="1" thickBot="1">
      <c r="B43" s="228"/>
      <c r="C43" s="203" t="s">
        <v>96</v>
      </c>
      <c r="D43" s="204" t="s">
        <v>27</v>
      </c>
      <c r="E43" s="204" t="s">
        <v>94</v>
      </c>
      <c r="F43" s="204" t="s">
        <v>104</v>
      </c>
      <c r="G43" s="204" t="s">
        <v>99</v>
      </c>
      <c r="H43" s="204" t="s">
        <v>98</v>
      </c>
      <c r="I43" s="145">
        <f>D31/D33</f>
        <v>240</v>
      </c>
      <c r="N43"/>
    </row>
    <row r="44" spans="2:14" ht="14.25" customHeight="1" thickBot="1">
      <c r="B44" s="171"/>
      <c r="C44" s="172"/>
      <c r="D44" s="172"/>
      <c r="E44" s="172"/>
      <c r="F44" s="172"/>
      <c r="G44" s="172"/>
      <c r="H44" s="172"/>
      <c r="I44" s="173"/>
      <c r="N44"/>
    </row>
    <row r="45" spans="2:14">
      <c r="B45" s="229">
        <v>2</v>
      </c>
      <c r="C45" s="198" t="s">
        <v>95</v>
      </c>
      <c r="D45" s="199" t="s">
        <v>17</v>
      </c>
      <c r="E45" s="199" t="s">
        <v>94</v>
      </c>
      <c r="F45" s="199" t="s">
        <v>18</v>
      </c>
      <c r="G45" s="199" t="s">
        <v>99</v>
      </c>
      <c r="H45" s="199" t="s">
        <v>98</v>
      </c>
      <c r="I45" s="200">
        <f>C27/C28</f>
        <v>10</v>
      </c>
      <c r="N45"/>
    </row>
    <row r="46" spans="2:14">
      <c r="B46" s="230"/>
      <c r="C46" s="201" t="s">
        <v>96</v>
      </c>
      <c r="D46" s="202" t="s">
        <v>23</v>
      </c>
      <c r="E46" s="202" t="s">
        <v>94</v>
      </c>
      <c r="F46" s="202" t="s">
        <v>24</v>
      </c>
      <c r="G46" s="202" t="s">
        <v>99</v>
      </c>
      <c r="H46" s="202" t="s">
        <v>98</v>
      </c>
      <c r="I46" s="144">
        <f>D27/D28</f>
        <v>10</v>
      </c>
      <c r="N46"/>
    </row>
    <row r="47" spans="2:14">
      <c r="B47" s="230"/>
      <c r="C47" s="201" t="s">
        <v>97</v>
      </c>
      <c r="D47" s="202" t="s">
        <v>21</v>
      </c>
      <c r="E47" s="202" t="s">
        <v>94</v>
      </c>
      <c r="F47" s="202" t="s">
        <v>22</v>
      </c>
      <c r="G47" s="202" t="s">
        <v>99</v>
      </c>
      <c r="H47" s="202" t="s">
        <v>98</v>
      </c>
      <c r="I47" s="144">
        <f>C31/C32</f>
        <v>10</v>
      </c>
      <c r="N47"/>
    </row>
    <row r="48" spans="2:14">
      <c r="B48" s="230"/>
      <c r="C48" s="201" t="s">
        <v>96</v>
      </c>
      <c r="D48" s="202" t="s">
        <v>27</v>
      </c>
      <c r="E48" s="202" t="s">
        <v>94</v>
      </c>
      <c r="F48" s="202" t="s">
        <v>28</v>
      </c>
      <c r="G48" s="202" t="s">
        <v>99</v>
      </c>
      <c r="H48" s="202" t="s">
        <v>98</v>
      </c>
      <c r="I48" s="144">
        <f>D31/D32</f>
        <v>10</v>
      </c>
      <c r="N48"/>
    </row>
    <row r="49" spans="2:9">
      <c r="B49" s="230"/>
      <c r="C49" s="201" t="s">
        <v>96</v>
      </c>
      <c r="D49" s="202" t="s">
        <v>102</v>
      </c>
      <c r="E49" s="202" t="s">
        <v>94</v>
      </c>
      <c r="F49" s="202" t="s">
        <v>103</v>
      </c>
      <c r="G49" s="205" t="s">
        <v>99</v>
      </c>
      <c r="H49" s="205" t="s">
        <v>98</v>
      </c>
      <c r="I49" s="144">
        <f>C33/C34</f>
        <v>10</v>
      </c>
    </row>
    <row r="50" spans="2:9" ht="15.75" thickBot="1">
      <c r="B50" s="231"/>
      <c r="C50" s="203" t="s">
        <v>96</v>
      </c>
      <c r="D50" s="204" t="s">
        <v>104</v>
      </c>
      <c r="E50" s="204" t="s">
        <v>94</v>
      </c>
      <c r="F50" s="204" t="s">
        <v>105</v>
      </c>
      <c r="G50" s="204" t="s">
        <v>99</v>
      </c>
      <c r="H50" s="204" t="s">
        <v>98</v>
      </c>
      <c r="I50" s="145">
        <f>D33/D34</f>
        <v>10</v>
      </c>
    </row>
    <row r="51" spans="2:9" ht="19.5" thickBot="1">
      <c r="B51" s="174"/>
      <c r="C51" s="172"/>
      <c r="D51" s="172"/>
      <c r="E51" s="177" t="s">
        <v>182</v>
      </c>
      <c r="F51" s="172"/>
      <c r="G51" s="175"/>
      <c r="H51" s="175"/>
      <c r="I51" s="176"/>
    </row>
  </sheetData>
  <mergeCells count="11">
    <mergeCell ref="B38:B43"/>
    <mergeCell ref="B45:B50"/>
    <mergeCell ref="B12:F12"/>
    <mergeCell ref="B35:F35"/>
    <mergeCell ref="B37:I37"/>
    <mergeCell ref="F2:F3"/>
    <mergeCell ref="F14:F15"/>
    <mergeCell ref="F25:F26"/>
    <mergeCell ref="C2:D2"/>
    <mergeCell ref="C25:D25"/>
    <mergeCell ref="C14:D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D48"/>
  <sheetViews>
    <sheetView workbookViewId="0">
      <selection activeCell="B2" sqref="B2:D2"/>
    </sheetView>
  </sheetViews>
  <sheetFormatPr defaultRowHeight="15"/>
  <cols>
    <col min="1" max="1" width="4.5703125" customWidth="1"/>
    <col min="2" max="2" width="15" style="1" customWidth="1"/>
    <col min="3" max="3" width="10.42578125" style="1" customWidth="1"/>
    <col min="4" max="4" width="14.140625" style="1" customWidth="1"/>
    <col min="5" max="5" width="4.5703125" customWidth="1"/>
  </cols>
  <sheetData>
    <row r="1" spans="2:4" ht="15.75" thickBot="1"/>
    <row r="2" spans="2:4" ht="15.75" thickBot="1">
      <c r="B2" s="255" t="s">
        <v>88</v>
      </c>
      <c r="C2" s="256"/>
      <c r="D2" s="257"/>
    </row>
    <row r="3" spans="2:4" ht="15.75" thickBot="1">
      <c r="B3" s="36" t="s">
        <v>90</v>
      </c>
      <c r="C3" s="36" t="s">
        <v>62</v>
      </c>
      <c r="D3" s="36" t="s">
        <v>100</v>
      </c>
    </row>
    <row r="4" spans="2:4">
      <c r="B4" s="34">
        <v>-20</v>
      </c>
      <c r="C4" s="34"/>
      <c r="D4" s="34">
        <f>B4*3600000</f>
        <v>-72000000</v>
      </c>
    </row>
    <row r="5" spans="2:4">
      <c r="B5" s="33"/>
      <c r="C5" s="33">
        <v>0</v>
      </c>
      <c r="D5" s="33"/>
    </row>
    <row r="6" spans="2:4">
      <c r="B6" s="33">
        <v>-18</v>
      </c>
      <c r="C6" s="33"/>
      <c r="D6" s="33">
        <f t="shared" ref="D6:D44" si="0">B6*3600000</f>
        <v>-64800000</v>
      </c>
    </row>
    <row r="7" spans="2:4">
      <c r="B7" s="33"/>
      <c r="C7" s="33">
        <v>1</v>
      </c>
      <c r="D7" s="33"/>
    </row>
    <row r="8" spans="2:4">
      <c r="B8" s="33">
        <v>-16</v>
      </c>
      <c r="C8" s="33"/>
      <c r="D8" s="33">
        <f t="shared" si="0"/>
        <v>-57600000</v>
      </c>
    </row>
    <row r="9" spans="2:4">
      <c r="B9" s="33"/>
      <c r="C9" s="33">
        <v>2</v>
      </c>
      <c r="D9" s="33"/>
    </row>
    <row r="10" spans="2:4">
      <c r="B10" s="33">
        <v>-14</v>
      </c>
      <c r="C10" s="33"/>
      <c r="D10" s="33">
        <f t="shared" si="0"/>
        <v>-50400000</v>
      </c>
    </row>
    <row r="11" spans="2:4">
      <c r="B11" s="33"/>
      <c r="C11" s="33">
        <v>3</v>
      </c>
      <c r="D11" s="33"/>
    </row>
    <row r="12" spans="2:4">
      <c r="B12" s="33">
        <v>-12</v>
      </c>
      <c r="C12" s="33"/>
      <c r="D12" s="33">
        <f t="shared" si="0"/>
        <v>-43200000</v>
      </c>
    </row>
    <row r="13" spans="2:4">
      <c r="B13" s="33"/>
      <c r="C13" s="33">
        <v>4</v>
      </c>
      <c r="D13" s="33"/>
    </row>
    <row r="14" spans="2:4">
      <c r="B14" s="33">
        <v>-10</v>
      </c>
      <c r="C14" s="33"/>
      <c r="D14" s="33">
        <f t="shared" si="0"/>
        <v>-36000000</v>
      </c>
    </row>
    <row r="15" spans="2:4">
      <c r="B15" s="33"/>
      <c r="C15" s="33">
        <v>5</v>
      </c>
      <c r="D15" s="33"/>
    </row>
    <row r="16" spans="2:4">
      <c r="B16" s="33">
        <v>-8</v>
      </c>
      <c r="C16" s="33"/>
      <c r="D16" s="33">
        <f t="shared" si="0"/>
        <v>-28800000</v>
      </c>
    </row>
    <row r="17" spans="2:4">
      <c r="B17" s="33"/>
      <c r="C17" s="33">
        <v>6</v>
      </c>
      <c r="D17" s="33"/>
    </row>
    <row r="18" spans="2:4">
      <c r="B18" s="33">
        <v>-6</v>
      </c>
      <c r="C18" s="33"/>
      <c r="D18" s="33">
        <f t="shared" si="0"/>
        <v>-21600000</v>
      </c>
    </row>
    <row r="19" spans="2:4">
      <c r="B19" s="33"/>
      <c r="C19" s="33">
        <v>7</v>
      </c>
      <c r="D19" s="33"/>
    </row>
    <row r="20" spans="2:4">
      <c r="B20" s="33">
        <v>-4</v>
      </c>
      <c r="C20" s="33"/>
      <c r="D20" s="33">
        <f t="shared" si="0"/>
        <v>-14400000</v>
      </c>
    </row>
    <row r="21" spans="2:4">
      <c r="B21" s="33"/>
      <c r="C21" s="33">
        <v>8</v>
      </c>
      <c r="D21" s="33"/>
    </row>
    <row r="22" spans="2:4">
      <c r="B22" s="33">
        <v>-2</v>
      </c>
      <c r="C22" s="33"/>
      <c r="D22" s="33">
        <f t="shared" si="0"/>
        <v>-7200000</v>
      </c>
    </row>
    <row r="23" spans="2:4">
      <c r="B23" s="33"/>
      <c r="C23" s="33">
        <v>9</v>
      </c>
      <c r="D23" s="33"/>
    </row>
    <row r="24" spans="2:4">
      <c r="B24" s="33">
        <v>0</v>
      </c>
      <c r="C24" s="33"/>
      <c r="D24" s="33">
        <f t="shared" si="0"/>
        <v>0</v>
      </c>
    </row>
    <row r="25" spans="2:4">
      <c r="B25" s="33"/>
      <c r="C25" s="33">
        <v>0</v>
      </c>
      <c r="D25" s="33"/>
    </row>
    <row r="26" spans="2:4">
      <c r="B26" s="33">
        <v>2</v>
      </c>
      <c r="C26" s="33"/>
      <c r="D26" s="33">
        <f t="shared" si="0"/>
        <v>7200000</v>
      </c>
    </row>
    <row r="27" spans="2:4">
      <c r="B27" s="33"/>
      <c r="C27" s="33">
        <v>1</v>
      </c>
      <c r="D27" s="33"/>
    </row>
    <row r="28" spans="2:4">
      <c r="B28" s="33">
        <v>4</v>
      </c>
      <c r="C28" s="33"/>
      <c r="D28" s="33">
        <f t="shared" si="0"/>
        <v>14400000</v>
      </c>
    </row>
    <row r="29" spans="2:4">
      <c r="B29" s="33"/>
      <c r="C29" s="33">
        <v>2</v>
      </c>
      <c r="D29" s="33"/>
    </row>
    <row r="30" spans="2:4">
      <c r="B30" s="33">
        <v>6</v>
      </c>
      <c r="C30" s="33"/>
      <c r="D30" s="33">
        <f t="shared" si="0"/>
        <v>21600000</v>
      </c>
    </row>
    <row r="31" spans="2:4">
      <c r="B31" s="33"/>
      <c r="C31" s="33">
        <v>3</v>
      </c>
      <c r="D31" s="33"/>
    </row>
    <row r="32" spans="2:4">
      <c r="B32" s="33">
        <v>8</v>
      </c>
      <c r="C32" s="33"/>
      <c r="D32" s="33">
        <f t="shared" si="0"/>
        <v>28800000</v>
      </c>
    </row>
    <row r="33" spans="2:4">
      <c r="B33" s="33"/>
      <c r="C33" s="33">
        <v>4</v>
      </c>
      <c r="D33" s="33"/>
    </row>
    <row r="34" spans="2:4">
      <c r="B34" s="33">
        <v>10</v>
      </c>
      <c r="C34" s="33"/>
      <c r="D34" s="33">
        <f t="shared" si="0"/>
        <v>36000000</v>
      </c>
    </row>
    <row r="35" spans="2:4">
      <c r="B35" s="33"/>
      <c r="C35" s="33">
        <v>5</v>
      </c>
      <c r="D35" s="33"/>
    </row>
    <row r="36" spans="2:4">
      <c r="B36" s="33">
        <v>12</v>
      </c>
      <c r="C36" s="33"/>
      <c r="D36" s="33">
        <f t="shared" si="0"/>
        <v>43200000</v>
      </c>
    </row>
    <row r="37" spans="2:4">
      <c r="B37" s="33"/>
      <c r="C37" s="33">
        <v>6</v>
      </c>
      <c r="D37" s="33"/>
    </row>
    <row r="38" spans="2:4">
      <c r="B38" s="33">
        <v>14</v>
      </c>
      <c r="C38" s="33"/>
      <c r="D38" s="33">
        <f t="shared" si="0"/>
        <v>50400000</v>
      </c>
    </row>
    <row r="39" spans="2:4">
      <c r="B39" s="33"/>
      <c r="C39" s="33">
        <v>7</v>
      </c>
      <c r="D39" s="33"/>
    </row>
    <row r="40" spans="2:4">
      <c r="B40" s="33">
        <v>16</v>
      </c>
      <c r="C40" s="33"/>
      <c r="D40" s="33">
        <f t="shared" si="0"/>
        <v>57600000</v>
      </c>
    </row>
    <row r="41" spans="2:4">
      <c r="B41" s="33"/>
      <c r="C41" s="33">
        <v>8</v>
      </c>
      <c r="D41" s="33"/>
    </row>
    <row r="42" spans="2:4">
      <c r="B42" s="33">
        <v>18</v>
      </c>
      <c r="C42" s="33"/>
      <c r="D42" s="33">
        <f t="shared" si="0"/>
        <v>64800000</v>
      </c>
    </row>
    <row r="43" spans="2:4">
      <c r="B43" s="33"/>
      <c r="C43" s="33">
        <v>9</v>
      </c>
      <c r="D43" s="33"/>
    </row>
    <row r="44" spans="2:4" ht="15.75" thickBot="1">
      <c r="B44" s="35">
        <v>20</v>
      </c>
      <c r="C44" s="35"/>
      <c r="D44" s="35">
        <f t="shared" si="0"/>
        <v>72000000</v>
      </c>
    </row>
    <row r="45" spans="2:4">
      <c r="B45" s="258" t="s">
        <v>213</v>
      </c>
      <c r="C45" s="270"/>
      <c r="D45" s="271"/>
    </row>
    <row r="46" spans="2:4">
      <c r="B46" s="261"/>
      <c r="C46" s="262"/>
      <c r="D46" s="263"/>
    </row>
    <row r="47" spans="2:4">
      <c r="B47" s="261"/>
      <c r="C47" s="262"/>
      <c r="D47" s="263"/>
    </row>
    <row r="48" spans="2:4" ht="15.75" thickBot="1">
      <c r="B48" s="264"/>
      <c r="C48" s="265"/>
      <c r="D48" s="266"/>
    </row>
  </sheetData>
  <mergeCells count="2">
    <mergeCell ref="B2:D2"/>
    <mergeCell ref="B45:D48"/>
  </mergeCells>
  <printOptions horizontalCentered="1" verticalCentered="1"/>
  <pageMargins left="0.7" right="0.7" top="0.75" bottom="0.75" header="0.3" footer="0.3"/>
  <pageSetup orientation="portrait" r:id="rId1"/>
  <headerFooter>
    <oddFooter>&amp;CTable 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B1:D48"/>
  <sheetViews>
    <sheetView workbookViewId="0">
      <selection activeCell="G11" sqref="G11"/>
    </sheetView>
  </sheetViews>
  <sheetFormatPr defaultRowHeight="15"/>
  <cols>
    <col min="1" max="1" width="4.5703125" customWidth="1"/>
    <col min="2" max="2" width="14.85546875" customWidth="1"/>
    <col min="4" max="4" width="15" style="1" customWidth="1"/>
    <col min="5" max="5" width="4.5703125" customWidth="1"/>
  </cols>
  <sheetData>
    <row r="1" spans="2:4" ht="15.75" thickBot="1"/>
    <row r="2" spans="2:4" ht="15.75" thickBot="1">
      <c r="B2" s="267" t="s">
        <v>89</v>
      </c>
      <c r="C2" s="268"/>
      <c r="D2" s="269"/>
    </row>
    <row r="3" spans="2:4" ht="15.75" thickBot="1">
      <c r="B3" s="36" t="s">
        <v>90</v>
      </c>
      <c r="C3" s="36" t="s">
        <v>63</v>
      </c>
      <c r="D3" s="36" t="s">
        <v>100</v>
      </c>
    </row>
    <row r="4" spans="2:4">
      <c r="B4" s="34">
        <v>-10</v>
      </c>
      <c r="C4" s="34"/>
      <c r="D4" s="34">
        <f>B4*3600000</f>
        <v>-36000000</v>
      </c>
    </row>
    <row r="5" spans="2:4">
      <c r="B5" s="33"/>
      <c r="C5" s="33">
        <v>0</v>
      </c>
      <c r="D5" s="33"/>
    </row>
    <row r="6" spans="2:4">
      <c r="B6" s="33">
        <v>-9</v>
      </c>
      <c r="C6" s="33"/>
      <c r="D6" s="33">
        <f t="shared" ref="D6:D44" si="0">B6*3600000</f>
        <v>-32400000</v>
      </c>
    </row>
    <row r="7" spans="2:4">
      <c r="B7" s="33"/>
      <c r="C7" s="33">
        <v>1</v>
      </c>
      <c r="D7" s="33"/>
    </row>
    <row r="8" spans="2:4">
      <c r="B8" s="33">
        <v>-8</v>
      </c>
      <c r="C8" s="33"/>
      <c r="D8" s="33">
        <f t="shared" si="0"/>
        <v>-28800000</v>
      </c>
    </row>
    <row r="9" spans="2:4">
      <c r="B9" s="33"/>
      <c r="C9" s="33">
        <v>2</v>
      </c>
      <c r="D9" s="33"/>
    </row>
    <row r="10" spans="2:4">
      <c r="B10" s="33">
        <v>-7</v>
      </c>
      <c r="C10" s="33"/>
      <c r="D10" s="33">
        <f t="shared" si="0"/>
        <v>-25200000</v>
      </c>
    </row>
    <row r="11" spans="2:4">
      <c r="B11" s="33"/>
      <c r="C11" s="33">
        <v>3</v>
      </c>
      <c r="D11" s="33"/>
    </row>
    <row r="12" spans="2:4">
      <c r="B12" s="33">
        <v>-6</v>
      </c>
      <c r="C12" s="33"/>
      <c r="D12" s="33">
        <f t="shared" si="0"/>
        <v>-21600000</v>
      </c>
    </row>
    <row r="13" spans="2:4">
      <c r="B13" s="33"/>
      <c r="C13" s="33">
        <v>4</v>
      </c>
      <c r="D13" s="33"/>
    </row>
    <row r="14" spans="2:4">
      <c r="B14" s="33">
        <v>-5</v>
      </c>
      <c r="C14" s="33"/>
      <c r="D14" s="33">
        <f t="shared" si="0"/>
        <v>-18000000</v>
      </c>
    </row>
    <row r="15" spans="2:4">
      <c r="B15" s="33"/>
      <c r="C15" s="33">
        <v>5</v>
      </c>
      <c r="D15" s="33"/>
    </row>
    <row r="16" spans="2:4">
      <c r="B16" s="33">
        <v>-4</v>
      </c>
      <c r="C16" s="33"/>
      <c r="D16" s="33">
        <f t="shared" si="0"/>
        <v>-14400000</v>
      </c>
    </row>
    <row r="17" spans="2:4">
      <c r="B17" s="33"/>
      <c r="C17" s="33">
        <v>6</v>
      </c>
      <c r="D17" s="33"/>
    </row>
    <row r="18" spans="2:4">
      <c r="B18" s="33">
        <v>-3</v>
      </c>
      <c r="C18" s="33"/>
      <c r="D18" s="33">
        <f t="shared" si="0"/>
        <v>-10800000</v>
      </c>
    </row>
    <row r="19" spans="2:4">
      <c r="B19" s="33"/>
      <c r="C19" s="33">
        <v>7</v>
      </c>
      <c r="D19" s="33"/>
    </row>
    <row r="20" spans="2:4">
      <c r="B20" s="33">
        <v>-2</v>
      </c>
      <c r="C20" s="33"/>
      <c r="D20" s="33">
        <f t="shared" si="0"/>
        <v>-7200000</v>
      </c>
    </row>
    <row r="21" spans="2:4">
      <c r="B21" s="33"/>
      <c r="C21" s="33">
        <v>8</v>
      </c>
      <c r="D21" s="33"/>
    </row>
    <row r="22" spans="2:4">
      <c r="B22" s="33">
        <v>-1</v>
      </c>
      <c r="C22" s="33"/>
      <c r="D22" s="33">
        <f t="shared" si="0"/>
        <v>-3600000</v>
      </c>
    </row>
    <row r="23" spans="2:4">
      <c r="B23" s="33"/>
      <c r="C23" s="33">
        <v>9</v>
      </c>
      <c r="D23" s="33"/>
    </row>
    <row r="24" spans="2:4">
      <c r="B24" s="33">
        <v>0</v>
      </c>
      <c r="C24" s="33"/>
      <c r="D24" s="33">
        <f t="shared" si="0"/>
        <v>0</v>
      </c>
    </row>
    <row r="25" spans="2:4">
      <c r="B25" s="33"/>
      <c r="C25" s="33">
        <v>0</v>
      </c>
      <c r="D25" s="33"/>
    </row>
    <row r="26" spans="2:4">
      <c r="B26" s="33">
        <v>1</v>
      </c>
      <c r="C26" s="33"/>
      <c r="D26" s="33">
        <f t="shared" si="0"/>
        <v>3600000</v>
      </c>
    </row>
    <row r="27" spans="2:4">
      <c r="B27" s="33"/>
      <c r="C27" s="33">
        <v>1</v>
      </c>
      <c r="D27" s="33"/>
    </row>
    <row r="28" spans="2:4">
      <c r="B28" s="33">
        <v>2</v>
      </c>
      <c r="C28" s="33"/>
      <c r="D28" s="33">
        <f t="shared" si="0"/>
        <v>7200000</v>
      </c>
    </row>
    <row r="29" spans="2:4">
      <c r="B29" s="33"/>
      <c r="C29" s="33">
        <v>2</v>
      </c>
      <c r="D29" s="33"/>
    </row>
    <row r="30" spans="2:4">
      <c r="B30" s="33">
        <v>3</v>
      </c>
      <c r="C30" s="33"/>
      <c r="D30" s="33">
        <f t="shared" si="0"/>
        <v>10800000</v>
      </c>
    </row>
    <row r="31" spans="2:4">
      <c r="B31" s="33"/>
      <c r="C31" s="33">
        <v>3</v>
      </c>
      <c r="D31" s="33"/>
    </row>
    <row r="32" spans="2:4">
      <c r="B32" s="33">
        <v>4</v>
      </c>
      <c r="C32" s="33"/>
      <c r="D32" s="33">
        <f t="shared" si="0"/>
        <v>14400000</v>
      </c>
    </row>
    <row r="33" spans="2:4">
      <c r="B33" s="33"/>
      <c r="C33" s="33">
        <v>4</v>
      </c>
      <c r="D33" s="33"/>
    </row>
    <row r="34" spans="2:4">
      <c r="B34" s="33">
        <v>5</v>
      </c>
      <c r="C34" s="33"/>
      <c r="D34" s="33">
        <f t="shared" si="0"/>
        <v>18000000</v>
      </c>
    </row>
    <row r="35" spans="2:4">
      <c r="B35" s="33"/>
      <c r="C35" s="33">
        <v>5</v>
      </c>
      <c r="D35" s="33"/>
    </row>
    <row r="36" spans="2:4">
      <c r="B36" s="33">
        <v>6</v>
      </c>
      <c r="C36" s="33"/>
      <c r="D36" s="33">
        <f t="shared" si="0"/>
        <v>21600000</v>
      </c>
    </row>
    <row r="37" spans="2:4">
      <c r="B37" s="33"/>
      <c r="C37" s="33">
        <v>6</v>
      </c>
      <c r="D37" s="33"/>
    </row>
    <row r="38" spans="2:4">
      <c r="B38" s="33">
        <v>7</v>
      </c>
      <c r="C38" s="33"/>
      <c r="D38" s="33">
        <f t="shared" si="0"/>
        <v>25200000</v>
      </c>
    </row>
    <row r="39" spans="2:4">
      <c r="B39" s="33"/>
      <c r="C39" s="33">
        <v>7</v>
      </c>
      <c r="D39" s="33"/>
    </row>
    <row r="40" spans="2:4">
      <c r="B40" s="33">
        <v>8</v>
      </c>
      <c r="C40" s="33"/>
      <c r="D40" s="33">
        <f t="shared" si="0"/>
        <v>28800000</v>
      </c>
    </row>
    <row r="41" spans="2:4">
      <c r="B41" s="33"/>
      <c r="C41" s="33">
        <v>8</v>
      </c>
      <c r="D41" s="33"/>
    </row>
    <row r="42" spans="2:4">
      <c r="B42" s="33">
        <v>9</v>
      </c>
      <c r="C42" s="33"/>
      <c r="D42" s="33">
        <f t="shared" si="0"/>
        <v>32400000</v>
      </c>
    </row>
    <row r="43" spans="2:4">
      <c r="B43" s="33"/>
      <c r="C43" s="33">
        <v>9</v>
      </c>
      <c r="D43" s="33"/>
    </row>
    <row r="44" spans="2:4" ht="15.75" thickBot="1">
      <c r="B44" s="35">
        <v>10</v>
      </c>
      <c r="C44" s="35"/>
      <c r="D44" s="35">
        <f t="shared" si="0"/>
        <v>36000000</v>
      </c>
    </row>
    <row r="45" spans="2:4">
      <c r="B45" s="258" t="s">
        <v>214</v>
      </c>
      <c r="C45" s="270"/>
      <c r="D45" s="271"/>
    </row>
    <row r="46" spans="2:4">
      <c r="B46" s="261"/>
      <c r="C46" s="262"/>
      <c r="D46" s="263"/>
    </row>
    <row r="47" spans="2:4">
      <c r="B47" s="261"/>
      <c r="C47" s="262"/>
      <c r="D47" s="263"/>
    </row>
    <row r="48" spans="2:4" ht="15.75" thickBot="1">
      <c r="B48" s="264"/>
      <c r="C48" s="265"/>
      <c r="D48" s="266"/>
    </row>
  </sheetData>
  <mergeCells count="2">
    <mergeCell ref="B2:D2"/>
    <mergeCell ref="B45:D48"/>
  </mergeCells>
  <printOptions horizontalCentered="1" verticalCentered="1"/>
  <pageMargins left="0.7" right="0.7" top="0.75" bottom="0.75" header="0.3" footer="0.3"/>
  <pageSetup orientation="portrait" r:id="rId1"/>
  <headerFooter>
    <oddFooter>&amp;CTable 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04"/>
  <sheetViews>
    <sheetView workbookViewId="0">
      <selection activeCell="B2" sqref="B2:D2"/>
    </sheetView>
  </sheetViews>
  <sheetFormatPr defaultRowHeight="15"/>
  <cols>
    <col min="1" max="1" width="4.42578125" customWidth="1"/>
    <col min="2" max="2" width="13.7109375" style="1" customWidth="1"/>
    <col min="3" max="3" width="9.140625" style="1"/>
    <col min="4" max="4" width="14.42578125" style="1" customWidth="1"/>
    <col min="5" max="5" width="4.7109375" customWidth="1"/>
    <col min="9" max="9" width="9.5703125" customWidth="1"/>
  </cols>
  <sheetData>
    <row r="1" spans="2:4" ht="15.75" thickBot="1"/>
    <row r="2" spans="2:4" ht="15.75" thickBot="1">
      <c r="B2" s="255" t="s">
        <v>88</v>
      </c>
      <c r="C2" s="256"/>
      <c r="D2" s="257"/>
    </row>
    <row r="3" spans="2:4" ht="15.75" thickBot="1">
      <c r="B3" s="36" t="s">
        <v>92</v>
      </c>
      <c r="C3" s="36" t="s">
        <v>62</v>
      </c>
      <c r="D3" s="36" t="s">
        <v>100</v>
      </c>
    </row>
    <row r="4" spans="2:4">
      <c r="B4" s="34">
        <v>-120</v>
      </c>
      <c r="C4" s="34"/>
      <c r="D4" s="34">
        <f>B4*60000</f>
        <v>-7200000</v>
      </c>
    </row>
    <row r="5" spans="2:4">
      <c r="B5" s="33"/>
      <c r="C5" s="33" t="s">
        <v>64</v>
      </c>
      <c r="D5" s="33"/>
    </row>
    <row r="6" spans="2:4">
      <c r="B6" s="33">
        <v>-115</v>
      </c>
      <c r="C6" s="33"/>
      <c r="D6" s="33">
        <f>B6*60000</f>
        <v>-6900000</v>
      </c>
    </row>
    <row r="7" spans="2:4">
      <c r="B7" s="33"/>
      <c r="C7" s="33" t="s">
        <v>65</v>
      </c>
      <c r="D7" s="33"/>
    </row>
    <row r="8" spans="2:4">
      <c r="B8" s="33">
        <v>-110</v>
      </c>
      <c r="C8" s="33"/>
      <c r="D8" s="33">
        <f>B8*60000</f>
        <v>-6600000</v>
      </c>
    </row>
    <row r="9" spans="2:4">
      <c r="B9" s="33"/>
      <c r="C9" s="33" t="s">
        <v>66</v>
      </c>
      <c r="D9" s="33"/>
    </row>
    <row r="10" spans="2:4">
      <c r="B10" s="33">
        <v>-105</v>
      </c>
      <c r="C10" s="33"/>
      <c r="D10" s="33">
        <f>B10*60000</f>
        <v>-6300000</v>
      </c>
    </row>
    <row r="11" spans="2:4">
      <c r="B11" s="33"/>
      <c r="C11" s="33" t="s">
        <v>67</v>
      </c>
      <c r="D11" s="33"/>
    </row>
    <row r="12" spans="2:4">
      <c r="B12" s="33">
        <v>-100</v>
      </c>
      <c r="C12" s="33"/>
      <c r="D12" s="33">
        <f>B12*60000</f>
        <v>-6000000</v>
      </c>
    </row>
    <row r="13" spans="2:4">
      <c r="B13" s="33"/>
      <c r="C13" s="33" t="s">
        <v>68</v>
      </c>
      <c r="D13" s="33"/>
    </row>
    <row r="14" spans="2:4">
      <c r="B14" s="33">
        <v>-95</v>
      </c>
      <c r="C14" s="33"/>
      <c r="D14" s="33">
        <f>B14*60000</f>
        <v>-5700000</v>
      </c>
    </row>
    <row r="15" spans="2:4">
      <c r="B15" s="33"/>
      <c r="C15" s="33" t="s">
        <v>69</v>
      </c>
      <c r="D15" s="33"/>
    </row>
    <row r="16" spans="2:4">
      <c r="B16" s="33">
        <v>-90</v>
      </c>
      <c r="C16" s="33"/>
      <c r="D16" s="33">
        <f>B16*60000</f>
        <v>-5400000</v>
      </c>
    </row>
    <row r="17" spans="2:4">
      <c r="B17" s="33"/>
      <c r="C17" s="33" t="s">
        <v>70</v>
      </c>
      <c r="D17" s="33"/>
    </row>
    <row r="18" spans="2:4">
      <c r="B18" s="33">
        <v>-85</v>
      </c>
      <c r="C18" s="33"/>
      <c r="D18" s="33">
        <f>B18*60000</f>
        <v>-5100000</v>
      </c>
    </row>
    <row r="19" spans="2:4">
      <c r="B19" s="33"/>
      <c r="C19" s="33" t="s">
        <v>71</v>
      </c>
      <c r="D19" s="33"/>
    </row>
    <row r="20" spans="2:4">
      <c r="B20" s="33">
        <v>-80</v>
      </c>
      <c r="C20" s="33"/>
      <c r="D20" s="33">
        <f>B20*60000</f>
        <v>-4800000</v>
      </c>
    </row>
    <row r="21" spans="2:4">
      <c r="B21" s="33"/>
      <c r="C21" s="33" t="s">
        <v>72</v>
      </c>
      <c r="D21" s="33"/>
    </row>
    <row r="22" spans="2:4">
      <c r="B22" s="33">
        <v>-75</v>
      </c>
      <c r="C22" s="33"/>
      <c r="D22" s="33">
        <f>B22*60000</f>
        <v>-4500000</v>
      </c>
    </row>
    <row r="23" spans="2:4">
      <c r="B23" s="33"/>
      <c r="C23" s="33" t="s">
        <v>73</v>
      </c>
      <c r="D23" s="33"/>
    </row>
    <row r="24" spans="2:4">
      <c r="B24" s="33">
        <v>-70</v>
      </c>
      <c r="C24" s="33"/>
      <c r="D24" s="33">
        <f>B24*60000</f>
        <v>-4200000</v>
      </c>
    </row>
    <row r="25" spans="2:4">
      <c r="B25" s="33"/>
      <c r="C25" s="33" t="s">
        <v>74</v>
      </c>
      <c r="D25" s="33"/>
    </row>
    <row r="26" spans="2:4">
      <c r="B26" s="33">
        <v>-65</v>
      </c>
      <c r="C26" s="33"/>
      <c r="D26" s="33">
        <f>B26*60000</f>
        <v>-3900000</v>
      </c>
    </row>
    <row r="27" spans="2:4">
      <c r="B27" s="33"/>
      <c r="C27" s="33" t="s">
        <v>75</v>
      </c>
      <c r="D27" s="33"/>
    </row>
    <row r="28" spans="2:4">
      <c r="B28" s="33">
        <v>-60</v>
      </c>
      <c r="C28" s="33"/>
      <c r="D28" s="33">
        <f>B28*60000</f>
        <v>-3600000</v>
      </c>
    </row>
    <row r="29" spans="2:4">
      <c r="B29" s="33"/>
      <c r="C29" s="33" t="s">
        <v>76</v>
      </c>
      <c r="D29" s="33"/>
    </row>
    <row r="30" spans="2:4">
      <c r="B30" s="33">
        <v>-55</v>
      </c>
      <c r="C30" s="33"/>
      <c r="D30" s="33">
        <f>B30*60000</f>
        <v>-3300000</v>
      </c>
    </row>
    <row r="31" spans="2:4">
      <c r="B31" s="33"/>
      <c r="C31" s="33" t="s">
        <v>77</v>
      </c>
      <c r="D31" s="33"/>
    </row>
    <row r="32" spans="2:4">
      <c r="B32" s="33">
        <v>-50</v>
      </c>
      <c r="C32" s="33"/>
      <c r="D32" s="33">
        <f>B32*60000</f>
        <v>-3000000</v>
      </c>
    </row>
    <row r="33" spans="2:4">
      <c r="B33" s="33"/>
      <c r="C33" s="33" t="s">
        <v>78</v>
      </c>
      <c r="D33" s="33"/>
    </row>
    <row r="34" spans="2:4">
      <c r="B34" s="33">
        <v>-45</v>
      </c>
      <c r="C34" s="33"/>
      <c r="D34" s="33">
        <f>B34*60000</f>
        <v>-2700000</v>
      </c>
    </row>
    <row r="35" spans="2:4">
      <c r="B35" s="33"/>
      <c r="C35" s="33" t="s">
        <v>79</v>
      </c>
      <c r="D35" s="33"/>
    </row>
    <row r="36" spans="2:4">
      <c r="B36" s="33">
        <v>-40</v>
      </c>
      <c r="C36" s="33"/>
      <c r="D36" s="33">
        <f>B36*60000</f>
        <v>-2400000</v>
      </c>
    </row>
    <row r="37" spans="2:4">
      <c r="B37" s="33"/>
      <c r="C37" s="33" t="s">
        <v>80</v>
      </c>
      <c r="D37" s="33"/>
    </row>
    <row r="38" spans="2:4">
      <c r="B38" s="33">
        <v>-35</v>
      </c>
      <c r="C38" s="33"/>
      <c r="D38" s="33">
        <f>B38*60000</f>
        <v>-2100000</v>
      </c>
    </row>
    <row r="39" spans="2:4">
      <c r="B39" s="33"/>
      <c r="C39" s="33" t="s">
        <v>81</v>
      </c>
      <c r="D39" s="33"/>
    </row>
    <row r="40" spans="2:4">
      <c r="B40" s="33">
        <v>-30</v>
      </c>
      <c r="C40" s="33"/>
      <c r="D40" s="33">
        <f>B40*60000</f>
        <v>-1800000</v>
      </c>
    </row>
    <row r="41" spans="2:4">
      <c r="B41" s="33"/>
      <c r="C41" s="33" t="s">
        <v>82</v>
      </c>
      <c r="D41" s="33"/>
    </row>
    <row r="42" spans="2:4">
      <c r="B42" s="33">
        <v>-25</v>
      </c>
      <c r="C42" s="33"/>
      <c r="D42" s="33">
        <f>B42*60000</f>
        <v>-1500000</v>
      </c>
    </row>
    <row r="43" spans="2:4">
      <c r="B43" s="33"/>
      <c r="C43" s="33" t="s">
        <v>83</v>
      </c>
      <c r="D43" s="33"/>
    </row>
    <row r="44" spans="2:4">
      <c r="B44" s="33">
        <v>-20</v>
      </c>
      <c r="C44" s="33"/>
      <c r="D44" s="33">
        <f>B44*60000</f>
        <v>-1200000</v>
      </c>
    </row>
    <row r="45" spans="2:4">
      <c r="B45" s="33"/>
      <c r="C45" s="33" t="s">
        <v>84</v>
      </c>
      <c r="D45" s="33"/>
    </row>
    <row r="46" spans="2:4">
      <c r="B46" s="33">
        <v>-15</v>
      </c>
      <c r="C46" s="33"/>
      <c r="D46" s="33">
        <f>B46*60000</f>
        <v>-900000</v>
      </c>
    </row>
    <row r="47" spans="2:4">
      <c r="B47" s="33"/>
      <c r="C47" s="33" t="s">
        <v>85</v>
      </c>
      <c r="D47" s="33"/>
    </row>
    <row r="48" spans="2:4">
      <c r="B48" s="33">
        <v>-10</v>
      </c>
      <c r="C48" s="33"/>
      <c r="D48" s="33">
        <f>B48*60000</f>
        <v>-600000</v>
      </c>
    </row>
    <row r="49" spans="2:4">
      <c r="B49" s="33"/>
      <c r="C49" s="33" t="s">
        <v>86</v>
      </c>
      <c r="D49" s="33"/>
    </row>
    <row r="50" spans="2:4">
      <c r="B50" s="33">
        <v>-5</v>
      </c>
      <c r="C50" s="33"/>
      <c r="D50" s="33">
        <f>B50*60000</f>
        <v>-300000</v>
      </c>
    </row>
    <row r="51" spans="2:4">
      <c r="B51" s="33"/>
      <c r="C51" s="33" t="s">
        <v>87</v>
      </c>
      <c r="D51" s="33"/>
    </row>
    <row r="52" spans="2:4">
      <c r="B52" s="33">
        <v>0</v>
      </c>
      <c r="C52" s="33"/>
      <c r="D52" s="33">
        <f t="shared" ref="D52" si="0">B52*3600000</f>
        <v>0</v>
      </c>
    </row>
    <row r="53" spans="2:4">
      <c r="B53" s="33"/>
      <c r="C53" s="33" t="s">
        <v>64</v>
      </c>
      <c r="D53" s="33"/>
    </row>
    <row r="54" spans="2:4">
      <c r="B54" s="33">
        <v>5</v>
      </c>
      <c r="C54" s="33"/>
      <c r="D54" s="33">
        <f>B54*60000</f>
        <v>300000</v>
      </c>
    </row>
    <row r="55" spans="2:4">
      <c r="B55" s="33"/>
      <c r="C55" s="33" t="s">
        <v>65</v>
      </c>
      <c r="D55" s="33"/>
    </row>
    <row r="56" spans="2:4">
      <c r="B56" s="33">
        <v>10</v>
      </c>
      <c r="C56" s="33"/>
      <c r="D56" s="33">
        <f>B56*60000</f>
        <v>600000</v>
      </c>
    </row>
    <row r="57" spans="2:4">
      <c r="B57" s="33"/>
      <c r="C57" s="33" t="s">
        <v>66</v>
      </c>
      <c r="D57" s="33"/>
    </row>
    <row r="58" spans="2:4">
      <c r="B58" s="33">
        <v>15</v>
      </c>
      <c r="C58" s="33"/>
      <c r="D58" s="33">
        <f>B58*60000</f>
        <v>900000</v>
      </c>
    </row>
    <row r="59" spans="2:4">
      <c r="B59" s="33"/>
      <c r="C59" s="33" t="s">
        <v>67</v>
      </c>
      <c r="D59" s="33"/>
    </row>
    <row r="60" spans="2:4">
      <c r="B60" s="33">
        <v>20</v>
      </c>
      <c r="C60" s="33"/>
      <c r="D60" s="33">
        <f>B60*60000</f>
        <v>1200000</v>
      </c>
    </row>
    <row r="61" spans="2:4">
      <c r="B61" s="33"/>
      <c r="C61" s="33" t="s">
        <v>68</v>
      </c>
      <c r="D61" s="33"/>
    </row>
    <row r="62" spans="2:4">
      <c r="B62" s="33">
        <v>25</v>
      </c>
      <c r="C62" s="33"/>
      <c r="D62" s="33">
        <f>B62*60000</f>
        <v>1500000</v>
      </c>
    </row>
    <row r="63" spans="2:4">
      <c r="B63" s="33"/>
      <c r="C63" s="33" t="s">
        <v>69</v>
      </c>
      <c r="D63" s="33"/>
    </row>
    <row r="64" spans="2:4">
      <c r="B64" s="33">
        <v>30</v>
      </c>
      <c r="C64" s="33"/>
      <c r="D64" s="33">
        <f>B64*60000</f>
        <v>1800000</v>
      </c>
    </row>
    <row r="65" spans="2:4">
      <c r="B65" s="33"/>
      <c r="C65" s="33" t="s">
        <v>70</v>
      </c>
      <c r="D65" s="33"/>
    </row>
    <row r="66" spans="2:4">
      <c r="B66" s="33">
        <v>35</v>
      </c>
      <c r="C66" s="33"/>
      <c r="D66" s="33">
        <f>B66*60000</f>
        <v>2100000</v>
      </c>
    </row>
    <row r="67" spans="2:4">
      <c r="B67" s="33"/>
      <c r="C67" s="33" t="s">
        <v>71</v>
      </c>
      <c r="D67" s="33"/>
    </row>
    <row r="68" spans="2:4">
      <c r="B68" s="33">
        <v>40</v>
      </c>
      <c r="C68" s="33"/>
      <c r="D68" s="33">
        <f>B68*60000</f>
        <v>2400000</v>
      </c>
    </row>
    <row r="69" spans="2:4">
      <c r="B69" s="33"/>
      <c r="C69" s="33" t="s">
        <v>72</v>
      </c>
      <c r="D69" s="33"/>
    </row>
    <row r="70" spans="2:4">
      <c r="B70" s="33">
        <v>45</v>
      </c>
      <c r="C70" s="33"/>
      <c r="D70" s="33">
        <f>B70*60000</f>
        <v>2700000</v>
      </c>
    </row>
    <row r="71" spans="2:4">
      <c r="B71" s="33"/>
      <c r="C71" s="33" t="s">
        <v>73</v>
      </c>
      <c r="D71" s="33"/>
    </row>
    <row r="72" spans="2:4">
      <c r="B72" s="33">
        <v>50</v>
      </c>
      <c r="C72" s="33"/>
      <c r="D72" s="33">
        <f>B72*60000</f>
        <v>3000000</v>
      </c>
    </row>
    <row r="73" spans="2:4">
      <c r="B73" s="33"/>
      <c r="C73" s="33" t="s">
        <v>74</v>
      </c>
      <c r="D73" s="33"/>
    </row>
    <row r="74" spans="2:4">
      <c r="B74" s="33">
        <v>55</v>
      </c>
      <c r="C74" s="33"/>
      <c r="D74" s="33">
        <f>B74*60000</f>
        <v>3300000</v>
      </c>
    </row>
    <row r="75" spans="2:4">
      <c r="B75" s="33"/>
      <c r="C75" s="33" t="s">
        <v>75</v>
      </c>
      <c r="D75" s="33"/>
    </row>
    <row r="76" spans="2:4">
      <c r="B76" s="33">
        <v>60</v>
      </c>
      <c r="C76" s="33"/>
      <c r="D76" s="33">
        <f>B76*60000</f>
        <v>3600000</v>
      </c>
    </row>
    <row r="77" spans="2:4">
      <c r="B77" s="33"/>
      <c r="C77" s="33" t="s">
        <v>76</v>
      </c>
      <c r="D77" s="33"/>
    </row>
    <row r="78" spans="2:4">
      <c r="B78" s="33">
        <v>65</v>
      </c>
      <c r="C78" s="33"/>
      <c r="D78" s="33">
        <f>B78*60000</f>
        <v>3900000</v>
      </c>
    </row>
    <row r="79" spans="2:4">
      <c r="B79" s="33"/>
      <c r="C79" s="33" t="s">
        <v>77</v>
      </c>
      <c r="D79" s="33"/>
    </row>
    <row r="80" spans="2:4">
      <c r="B80" s="33">
        <v>70</v>
      </c>
      <c r="C80" s="33"/>
      <c r="D80" s="33">
        <f>B80*60000</f>
        <v>4200000</v>
      </c>
    </row>
    <row r="81" spans="2:4">
      <c r="B81" s="33"/>
      <c r="C81" s="33" t="s">
        <v>78</v>
      </c>
      <c r="D81" s="33"/>
    </row>
    <row r="82" spans="2:4">
      <c r="B82" s="33">
        <v>75</v>
      </c>
      <c r="C82" s="33"/>
      <c r="D82" s="33">
        <f>B82*60000</f>
        <v>4500000</v>
      </c>
    </row>
    <row r="83" spans="2:4">
      <c r="B83" s="33"/>
      <c r="C83" s="33" t="s">
        <v>79</v>
      </c>
      <c r="D83" s="33"/>
    </row>
    <row r="84" spans="2:4">
      <c r="B84" s="33">
        <v>80</v>
      </c>
      <c r="C84" s="33"/>
      <c r="D84" s="33">
        <f>B84*60000</f>
        <v>4800000</v>
      </c>
    </row>
    <row r="85" spans="2:4">
      <c r="B85" s="33"/>
      <c r="C85" s="33" t="s">
        <v>80</v>
      </c>
      <c r="D85" s="33"/>
    </row>
    <row r="86" spans="2:4">
      <c r="B86" s="33">
        <v>85</v>
      </c>
      <c r="C86" s="33"/>
      <c r="D86" s="33">
        <f>B86*60000</f>
        <v>5100000</v>
      </c>
    </row>
    <row r="87" spans="2:4">
      <c r="B87" s="33"/>
      <c r="C87" s="33" t="s">
        <v>81</v>
      </c>
      <c r="D87" s="33"/>
    </row>
    <row r="88" spans="2:4">
      <c r="B88" s="33">
        <v>90</v>
      </c>
      <c r="C88" s="33"/>
      <c r="D88" s="33">
        <f>B88*60000</f>
        <v>5400000</v>
      </c>
    </row>
    <row r="89" spans="2:4">
      <c r="B89" s="33"/>
      <c r="C89" s="33" t="s">
        <v>82</v>
      </c>
      <c r="D89" s="33"/>
    </row>
    <row r="90" spans="2:4">
      <c r="B90" s="33">
        <v>95</v>
      </c>
      <c r="C90" s="33"/>
      <c r="D90" s="33">
        <f>B90*60000</f>
        <v>5700000</v>
      </c>
    </row>
    <row r="91" spans="2:4">
      <c r="B91" s="33"/>
      <c r="C91" s="33" t="s">
        <v>83</v>
      </c>
      <c r="D91" s="33"/>
    </row>
    <row r="92" spans="2:4">
      <c r="B92" s="33">
        <v>100</v>
      </c>
      <c r="C92" s="33"/>
      <c r="D92" s="33">
        <f>B92*60000</f>
        <v>6000000</v>
      </c>
    </row>
    <row r="93" spans="2:4">
      <c r="B93" s="33"/>
      <c r="C93" s="33" t="s">
        <v>84</v>
      </c>
      <c r="D93" s="33"/>
    </row>
    <row r="94" spans="2:4">
      <c r="B94" s="33">
        <v>105</v>
      </c>
      <c r="C94" s="33"/>
      <c r="D94" s="33">
        <f>B94*60000</f>
        <v>6300000</v>
      </c>
    </row>
    <row r="95" spans="2:4">
      <c r="B95" s="33"/>
      <c r="C95" s="33" t="s">
        <v>85</v>
      </c>
      <c r="D95" s="33"/>
    </row>
    <row r="96" spans="2:4">
      <c r="B96" s="33">
        <v>110</v>
      </c>
      <c r="C96" s="33"/>
      <c r="D96" s="33">
        <f>B96*60000</f>
        <v>6600000</v>
      </c>
    </row>
    <row r="97" spans="2:4">
      <c r="B97" s="33"/>
      <c r="C97" s="33" t="s">
        <v>86</v>
      </c>
      <c r="D97" s="33"/>
    </row>
    <row r="98" spans="2:4">
      <c r="B98" s="33">
        <v>115</v>
      </c>
      <c r="C98" s="33"/>
      <c r="D98" s="33">
        <f>B98*60000</f>
        <v>6900000</v>
      </c>
    </row>
    <row r="99" spans="2:4">
      <c r="B99" s="33"/>
      <c r="C99" s="33" t="s">
        <v>87</v>
      </c>
      <c r="D99" s="33"/>
    </row>
    <row r="100" spans="2:4" ht="15.75" thickBot="1">
      <c r="B100" s="35">
        <v>120</v>
      </c>
      <c r="C100" s="35"/>
      <c r="D100" s="35">
        <f>B100*60000</f>
        <v>7200000</v>
      </c>
    </row>
    <row r="101" spans="2:4">
      <c r="B101" s="258" t="s">
        <v>215</v>
      </c>
      <c r="C101" s="270"/>
      <c r="D101" s="271"/>
    </row>
    <row r="102" spans="2:4">
      <c r="B102" s="261"/>
      <c r="C102" s="262"/>
      <c r="D102" s="263"/>
    </row>
    <row r="103" spans="2:4">
      <c r="B103" s="261"/>
      <c r="C103" s="262"/>
      <c r="D103" s="263"/>
    </row>
    <row r="104" spans="2:4" ht="15.75" thickBot="1">
      <c r="B104" s="264"/>
      <c r="C104" s="265"/>
      <c r="D104" s="266"/>
    </row>
  </sheetData>
  <mergeCells count="2">
    <mergeCell ref="B2:D2"/>
    <mergeCell ref="B101:D104"/>
  </mergeCells>
  <printOptions horizontalCentered="1" verticalCentered="1"/>
  <pageMargins left="0.7" right="0.7" top="0.75" bottom="0.75" header="0.3" footer="0.3"/>
  <pageSetup scale="95" fitToHeight="2" orientation="portrait" r:id="rId1"/>
  <headerFooter>
    <oddFooter>&amp;CTable 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04"/>
  <sheetViews>
    <sheetView workbookViewId="0">
      <selection activeCell="B2" sqref="B2:D2"/>
    </sheetView>
  </sheetViews>
  <sheetFormatPr defaultRowHeight="15"/>
  <cols>
    <col min="1" max="1" width="4.85546875" customWidth="1"/>
    <col min="2" max="2" width="13.85546875" customWidth="1"/>
    <col min="4" max="4" width="13.5703125" style="1" customWidth="1"/>
    <col min="5" max="5" width="4.5703125" customWidth="1"/>
  </cols>
  <sheetData>
    <row r="1" spans="2:4" ht="15.75" thickBot="1"/>
    <row r="2" spans="2:4" ht="15.75" thickBot="1">
      <c r="B2" s="267" t="s">
        <v>89</v>
      </c>
      <c r="C2" s="268"/>
      <c r="D2" s="269"/>
    </row>
    <row r="3" spans="2:4" ht="15.75" thickBot="1">
      <c r="B3" s="36" t="s">
        <v>92</v>
      </c>
      <c r="C3" s="36" t="s">
        <v>62</v>
      </c>
      <c r="D3" s="36" t="s">
        <v>100</v>
      </c>
    </row>
    <row r="4" spans="2:4">
      <c r="B4" s="40">
        <v>-60</v>
      </c>
      <c r="C4" s="34"/>
      <c r="D4" s="34">
        <f>B4*60000</f>
        <v>-3600000</v>
      </c>
    </row>
    <row r="5" spans="2:4">
      <c r="B5" s="41"/>
      <c r="C5" s="33" t="s">
        <v>64</v>
      </c>
      <c r="D5" s="33"/>
    </row>
    <row r="6" spans="2:4">
      <c r="B6" s="41">
        <v>-57.5</v>
      </c>
      <c r="C6" s="33"/>
      <c r="D6" s="33">
        <f t="shared" ref="D6:D68" si="0">B6*60000</f>
        <v>-3450000</v>
      </c>
    </row>
    <row r="7" spans="2:4">
      <c r="B7" s="41"/>
      <c r="C7" s="33" t="s">
        <v>65</v>
      </c>
      <c r="D7" s="33"/>
    </row>
    <row r="8" spans="2:4">
      <c r="B8" s="41">
        <v>-55</v>
      </c>
      <c r="C8" s="33"/>
      <c r="D8" s="33">
        <f t="shared" si="0"/>
        <v>-3300000</v>
      </c>
    </row>
    <row r="9" spans="2:4">
      <c r="B9" s="41"/>
      <c r="C9" s="33" t="s">
        <v>66</v>
      </c>
      <c r="D9" s="33"/>
    </row>
    <row r="10" spans="2:4">
      <c r="B10" s="41">
        <v>-52.5</v>
      </c>
      <c r="C10" s="33"/>
      <c r="D10" s="33">
        <f t="shared" si="0"/>
        <v>-3150000</v>
      </c>
    </row>
    <row r="11" spans="2:4">
      <c r="B11" s="41"/>
      <c r="C11" s="33" t="s">
        <v>67</v>
      </c>
      <c r="D11" s="33"/>
    </row>
    <row r="12" spans="2:4">
      <c r="B12" s="41">
        <v>-50</v>
      </c>
      <c r="C12" s="33"/>
      <c r="D12" s="33">
        <f t="shared" si="0"/>
        <v>-3000000</v>
      </c>
    </row>
    <row r="13" spans="2:4">
      <c r="B13" s="41"/>
      <c r="C13" s="33" t="s">
        <v>68</v>
      </c>
      <c r="D13" s="33"/>
    </row>
    <row r="14" spans="2:4">
      <c r="B14" s="41">
        <v>-47.5</v>
      </c>
      <c r="C14" s="33"/>
      <c r="D14" s="33">
        <f t="shared" si="0"/>
        <v>-2850000</v>
      </c>
    </row>
    <row r="15" spans="2:4">
      <c r="B15" s="41"/>
      <c r="C15" s="33" t="s">
        <v>69</v>
      </c>
      <c r="D15" s="33"/>
    </row>
    <row r="16" spans="2:4">
      <c r="B16" s="41">
        <v>-45</v>
      </c>
      <c r="C16" s="33"/>
      <c r="D16" s="33">
        <f t="shared" si="0"/>
        <v>-2700000</v>
      </c>
    </row>
    <row r="17" spans="2:4">
      <c r="B17" s="41"/>
      <c r="C17" s="33" t="s">
        <v>70</v>
      </c>
      <c r="D17" s="33"/>
    </row>
    <row r="18" spans="2:4">
      <c r="B18" s="41">
        <v>-42.5</v>
      </c>
      <c r="C18" s="33"/>
      <c r="D18" s="33">
        <f t="shared" si="0"/>
        <v>-2550000</v>
      </c>
    </row>
    <row r="19" spans="2:4">
      <c r="B19" s="41"/>
      <c r="C19" s="33" t="s">
        <v>71</v>
      </c>
      <c r="D19" s="33"/>
    </row>
    <row r="20" spans="2:4">
      <c r="B20" s="41">
        <v>-40</v>
      </c>
      <c r="C20" s="33"/>
      <c r="D20" s="33">
        <f t="shared" si="0"/>
        <v>-2400000</v>
      </c>
    </row>
    <row r="21" spans="2:4">
      <c r="B21" s="41"/>
      <c r="C21" s="33" t="s">
        <v>72</v>
      </c>
      <c r="D21" s="33"/>
    </row>
    <row r="22" spans="2:4">
      <c r="B22" s="41">
        <v>-37.5</v>
      </c>
      <c r="C22" s="33"/>
      <c r="D22" s="33">
        <f t="shared" si="0"/>
        <v>-2250000</v>
      </c>
    </row>
    <row r="23" spans="2:4">
      <c r="B23" s="41"/>
      <c r="C23" s="33" t="s">
        <v>73</v>
      </c>
      <c r="D23" s="33"/>
    </row>
    <row r="24" spans="2:4">
      <c r="B24" s="41">
        <v>-35</v>
      </c>
      <c r="C24" s="33"/>
      <c r="D24" s="33">
        <f t="shared" si="0"/>
        <v>-2100000</v>
      </c>
    </row>
    <row r="25" spans="2:4">
      <c r="B25" s="41"/>
      <c r="C25" s="33" t="s">
        <v>74</v>
      </c>
      <c r="D25" s="33"/>
    </row>
    <row r="26" spans="2:4">
      <c r="B26" s="41">
        <v>-32.5</v>
      </c>
      <c r="C26" s="33"/>
      <c r="D26" s="33">
        <f t="shared" si="0"/>
        <v>-1950000</v>
      </c>
    </row>
    <row r="27" spans="2:4">
      <c r="B27" s="41"/>
      <c r="C27" s="33" t="s">
        <v>75</v>
      </c>
      <c r="D27" s="33"/>
    </row>
    <row r="28" spans="2:4">
      <c r="B28" s="41">
        <v>-30</v>
      </c>
      <c r="C28" s="33"/>
      <c r="D28" s="33">
        <f t="shared" si="0"/>
        <v>-1800000</v>
      </c>
    </row>
    <row r="29" spans="2:4">
      <c r="B29" s="41"/>
      <c r="C29" s="33" t="s">
        <v>76</v>
      </c>
      <c r="D29" s="33"/>
    </row>
    <row r="30" spans="2:4">
      <c r="B30" s="41">
        <v>-27.5</v>
      </c>
      <c r="C30" s="33"/>
      <c r="D30" s="33">
        <f t="shared" si="0"/>
        <v>-1650000</v>
      </c>
    </row>
    <row r="31" spans="2:4">
      <c r="B31" s="41"/>
      <c r="C31" s="33" t="s">
        <v>77</v>
      </c>
      <c r="D31" s="33"/>
    </row>
    <row r="32" spans="2:4">
      <c r="B32" s="41">
        <v>-25</v>
      </c>
      <c r="C32" s="33"/>
      <c r="D32" s="33">
        <f t="shared" si="0"/>
        <v>-1500000</v>
      </c>
    </row>
    <row r="33" spans="2:4">
      <c r="B33" s="41"/>
      <c r="C33" s="33" t="s">
        <v>78</v>
      </c>
      <c r="D33" s="33"/>
    </row>
    <row r="34" spans="2:4">
      <c r="B34" s="41">
        <v>-22.5</v>
      </c>
      <c r="C34" s="33"/>
      <c r="D34" s="33">
        <f t="shared" si="0"/>
        <v>-1350000</v>
      </c>
    </row>
    <row r="35" spans="2:4">
      <c r="B35" s="41"/>
      <c r="C35" s="33" t="s">
        <v>79</v>
      </c>
      <c r="D35" s="33"/>
    </row>
    <row r="36" spans="2:4">
      <c r="B36" s="41">
        <v>-20</v>
      </c>
      <c r="C36" s="33"/>
      <c r="D36" s="33">
        <f t="shared" si="0"/>
        <v>-1200000</v>
      </c>
    </row>
    <row r="37" spans="2:4">
      <c r="B37" s="41"/>
      <c r="C37" s="33" t="s">
        <v>80</v>
      </c>
      <c r="D37" s="33"/>
    </row>
    <row r="38" spans="2:4">
      <c r="B38" s="41">
        <v>-17.5</v>
      </c>
      <c r="C38" s="33"/>
      <c r="D38" s="33">
        <f t="shared" si="0"/>
        <v>-1050000</v>
      </c>
    </row>
    <row r="39" spans="2:4">
      <c r="B39" s="41"/>
      <c r="C39" s="33" t="s">
        <v>81</v>
      </c>
      <c r="D39" s="33"/>
    </row>
    <row r="40" spans="2:4">
      <c r="B40" s="41">
        <v>-15</v>
      </c>
      <c r="C40" s="33"/>
      <c r="D40" s="33">
        <f t="shared" si="0"/>
        <v>-900000</v>
      </c>
    </row>
    <row r="41" spans="2:4">
      <c r="B41" s="41"/>
      <c r="C41" s="33" t="s">
        <v>82</v>
      </c>
      <c r="D41" s="33"/>
    </row>
    <row r="42" spans="2:4">
      <c r="B42" s="41">
        <v>-12.5</v>
      </c>
      <c r="C42" s="33"/>
      <c r="D42" s="33">
        <f t="shared" si="0"/>
        <v>-750000</v>
      </c>
    </row>
    <row r="43" spans="2:4">
      <c r="B43" s="41"/>
      <c r="C43" s="33" t="s">
        <v>83</v>
      </c>
      <c r="D43" s="33"/>
    </row>
    <row r="44" spans="2:4">
      <c r="B44" s="41">
        <v>-10</v>
      </c>
      <c r="C44" s="33"/>
      <c r="D44" s="33">
        <f t="shared" si="0"/>
        <v>-600000</v>
      </c>
    </row>
    <row r="45" spans="2:4">
      <c r="B45" s="41"/>
      <c r="C45" s="33" t="s">
        <v>84</v>
      </c>
      <c r="D45" s="33"/>
    </row>
    <row r="46" spans="2:4">
      <c r="B46" s="41">
        <v>-7.5</v>
      </c>
      <c r="C46" s="33"/>
      <c r="D46" s="33">
        <f t="shared" si="0"/>
        <v>-450000</v>
      </c>
    </row>
    <row r="47" spans="2:4">
      <c r="B47" s="41"/>
      <c r="C47" s="33" t="s">
        <v>85</v>
      </c>
      <c r="D47" s="33"/>
    </row>
    <row r="48" spans="2:4">
      <c r="B48" s="41">
        <v>-5</v>
      </c>
      <c r="C48" s="33"/>
      <c r="D48" s="33">
        <f t="shared" si="0"/>
        <v>-300000</v>
      </c>
    </row>
    <row r="49" spans="2:4">
      <c r="B49" s="41"/>
      <c r="C49" s="33" t="s">
        <v>86</v>
      </c>
      <c r="D49" s="33"/>
    </row>
    <row r="50" spans="2:4">
      <c r="B50" s="41">
        <v>-2.5</v>
      </c>
      <c r="C50" s="33"/>
      <c r="D50" s="33">
        <f t="shared" si="0"/>
        <v>-150000</v>
      </c>
    </row>
    <row r="51" spans="2:4">
      <c r="B51" s="41"/>
      <c r="C51" s="33" t="s">
        <v>87</v>
      </c>
      <c r="D51" s="33"/>
    </row>
    <row r="52" spans="2:4">
      <c r="B52" s="41">
        <v>0</v>
      </c>
      <c r="C52" s="33"/>
      <c r="D52" s="33">
        <f t="shared" si="0"/>
        <v>0</v>
      </c>
    </row>
    <row r="53" spans="2:4">
      <c r="B53" s="41"/>
      <c r="C53" s="33" t="s">
        <v>64</v>
      </c>
      <c r="D53" s="33"/>
    </row>
    <row r="54" spans="2:4">
      <c r="B54" s="41">
        <v>2.5</v>
      </c>
      <c r="C54" s="33"/>
      <c r="D54" s="33">
        <f t="shared" si="0"/>
        <v>150000</v>
      </c>
    </row>
    <row r="55" spans="2:4">
      <c r="B55" s="41"/>
      <c r="C55" s="33" t="s">
        <v>65</v>
      </c>
      <c r="D55" s="33"/>
    </row>
    <row r="56" spans="2:4">
      <c r="B56" s="41">
        <v>5</v>
      </c>
      <c r="C56" s="33"/>
      <c r="D56" s="33">
        <f t="shared" si="0"/>
        <v>300000</v>
      </c>
    </row>
    <row r="57" spans="2:4">
      <c r="B57" s="41"/>
      <c r="C57" s="33" t="s">
        <v>66</v>
      </c>
      <c r="D57" s="33"/>
    </row>
    <row r="58" spans="2:4">
      <c r="B58" s="41">
        <v>7.5</v>
      </c>
      <c r="C58" s="33"/>
      <c r="D58" s="33">
        <f t="shared" si="0"/>
        <v>450000</v>
      </c>
    </row>
    <row r="59" spans="2:4">
      <c r="B59" s="41"/>
      <c r="C59" s="33" t="s">
        <v>67</v>
      </c>
      <c r="D59" s="33"/>
    </row>
    <row r="60" spans="2:4">
      <c r="B60" s="41">
        <v>10</v>
      </c>
      <c r="C60" s="33"/>
      <c r="D60" s="33">
        <f t="shared" si="0"/>
        <v>600000</v>
      </c>
    </row>
    <row r="61" spans="2:4">
      <c r="B61" s="41"/>
      <c r="C61" s="33" t="s">
        <v>68</v>
      </c>
      <c r="D61" s="33"/>
    </row>
    <row r="62" spans="2:4">
      <c r="B62" s="41">
        <v>12.5</v>
      </c>
      <c r="C62" s="33"/>
      <c r="D62" s="33">
        <f t="shared" si="0"/>
        <v>750000</v>
      </c>
    </row>
    <row r="63" spans="2:4">
      <c r="B63" s="41"/>
      <c r="C63" s="33" t="s">
        <v>69</v>
      </c>
      <c r="D63" s="33"/>
    </row>
    <row r="64" spans="2:4">
      <c r="B64" s="41">
        <v>15</v>
      </c>
      <c r="C64" s="33"/>
      <c r="D64" s="33">
        <f t="shared" si="0"/>
        <v>900000</v>
      </c>
    </row>
    <row r="65" spans="2:4">
      <c r="B65" s="41"/>
      <c r="C65" s="33" t="s">
        <v>70</v>
      </c>
      <c r="D65" s="33"/>
    </row>
    <row r="66" spans="2:4">
      <c r="B66" s="41">
        <v>17.5</v>
      </c>
      <c r="C66" s="33"/>
      <c r="D66" s="33">
        <f t="shared" si="0"/>
        <v>1050000</v>
      </c>
    </row>
    <row r="67" spans="2:4">
      <c r="B67" s="41"/>
      <c r="C67" s="33" t="s">
        <v>71</v>
      </c>
      <c r="D67" s="33"/>
    </row>
    <row r="68" spans="2:4">
      <c r="B68" s="41">
        <v>20</v>
      </c>
      <c r="C68" s="33"/>
      <c r="D68" s="33">
        <f t="shared" si="0"/>
        <v>1200000</v>
      </c>
    </row>
    <row r="69" spans="2:4">
      <c r="B69" s="41"/>
      <c r="C69" s="33" t="s">
        <v>72</v>
      </c>
      <c r="D69" s="33"/>
    </row>
    <row r="70" spans="2:4">
      <c r="B70" s="41">
        <v>22.5</v>
      </c>
      <c r="C70" s="33"/>
      <c r="D70" s="33">
        <f t="shared" ref="D70:D100" si="1">B70*60000</f>
        <v>1350000</v>
      </c>
    </row>
    <row r="71" spans="2:4">
      <c r="B71" s="41"/>
      <c r="C71" s="33" t="s">
        <v>73</v>
      </c>
      <c r="D71" s="33"/>
    </row>
    <row r="72" spans="2:4">
      <c r="B72" s="41">
        <v>25</v>
      </c>
      <c r="C72" s="33"/>
      <c r="D72" s="33">
        <f t="shared" si="1"/>
        <v>1500000</v>
      </c>
    </row>
    <row r="73" spans="2:4">
      <c r="B73" s="41"/>
      <c r="C73" s="33" t="s">
        <v>74</v>
      </c>
      <c r="D73" s="33"/>
    </row>
    <row r="74" spans="2:4">
      <c r="B74" s="41">
        <v>27.5</v>
      </c>
      <c r="C74" s="33"/>
      <c r="D74" s="33">
        <f t="shared" si="1"/>
        <v>1650000</v>
      </c>
    </row>
    <row r="75" spans="2:4">
      <c r="B75" s="41"/>
      <c r="C75" s="33" t="s">
        <v>75</v>
      </c>
      <c r="D75" s="33"/>
    </row>
    <row r="76" spans="2:4">
      <c r="B76" s="41">
        <v>30</v>
      </c>
      <c r="C76" s="33"/>
      <c r="D76" s="33">
        <f t="shared" si="1"/>
        <v>1800000</v>
      </c>
    </row>
    <row r="77" spans="2:4">
      <c r="B77" s="41"/>
      <c r="C77" s="33" t="s">
        <v>76</v>
      </c>
      <c r="D77" s="33"/>
    </row>
    <row r="78" spans="2:4">
      <c r="B78" s="41">
        <v>32.5</v>
      </c>
      <c r="C78" s="33"/>
      <c r="D78" s="33">
        <f t="shared" si="1"/>
        <v>1950000</v>
      </c>
    </row>
    <row r="79" spans="2:4">
      <c r="B79" s="41"/>
      <c r="C79" s="33" t="s">
        <v>77</v>
      </c>
      <c r="D79" s="33"/>
    </row>
    <row r="80" spans="2:4">
      <c r="B80" s="41">
        <v>35</v>
      </c>
      <c r="C80" s="33"/>
      <c r="D80" s="33">
        <f t="shared" si="1"/>
        <v>2100000</v>
      </c>
    </row>
    <row r="81" spans="2:4">
      <c r="B81" s="41"/>
      <c r="C81" s="33" t="s">
        <v>78</v>
      </c>
      <c r="D81" s="33"/>
    </row>
    <row r="82" spans="2:4">
      <c r="B82" s="41">
        <v>37.5</v>
      </c>
      <c r="C82" s="33"/>
      <c r="D82" s="33">
        <f t="shared" si="1"/>
        <v>2250000</v>
      </c>
    </row>
    <row r="83" spans="2:4">
      <c r="B83" s="41"/>
      <c r="C83" s="33" t="s">
        <v>79</v>
      </c>
      <c r="D83" s="33"/>
    </row>
    <row r="84" spans="2:4">
      <c r="B84" s="41">
        <v>40</v>
      </c>
      <c r="C84" s="33"/>
      <c r="D84" s="33">
        <f t="shared" si="1"/>
        <v>2400000</v>
      </c>
    </row>
    <row r="85" spans="2:4">
      <c r="B85" s="41"/>
      <c r="C85" s="33" t="s">
        <v>80</v>
      </c>
      <c r="D85" s="33"/>
    </row>
    <row r="86" spans="2:4">
      <c r="B86" s="41">
        <v>42.5</v>
      </c>
      <c r="C86" s="33"/>
      <c r="D86" s="33">
        <f t="shared" si="1"/>
        <v>2550000</v>
      </c>
    </row>
    <row r="87" spans="2:4">
      <c r="B87" s="41"/>
      <c r="C87" s="33" t="s">
        <v>81</v>
      </c>
      <c r="D87" s="33"/>
    </row>
    <row r="88" spans="2:4">
      <c r="B88" s="41">
        <v>45</v>
      </c>
      <c r="C88" s="33"/>
      <c r="D88" s="33">
        <f t="shared" si="1"/>
        <v>2700000</v>
      </c>
    </row>
    <row r="89" spans="2:4">
      <c r="B89" s="41"/>
      <c r="C89" s="33" t="s">
        <v>82</v>
      </c>
      <c r="D89" s="33"/>
    </row>
    <row r="90" spans="2:4">
      <c r="B90" s="41">
        <v>47.5</v>
      </c>
      <c r="C90" s="33"/>
      <c r="D90" s="33">
        <f t="shared" si="1"/>
        <v>2850000</v>
      </c>
    </row>
    <row r="91" spans="2:4">
      <c r="B91" s="41"/>
      <c r="C91" s="33" t="s">
        <v>83</v>
      </c>
      <c r="D91" s="33"/>
    </row>
    <row r="92" spans="2:4">
      <c r="B92" s="41">
        <v>50</v>
      </c>
      <c r="C92" s="33"/>
      <c r="D92" s="33">
        <f t="shared" si="1"/>
        <v>3000000</v>
      </c>
    </row>
    <row r="93" spans="2:4">
      <c r="B93" s="41"/>
      <c r="C93" s="33" t="s">
        <v>84</v>
      </c>
      <c r="D93" s="33"/>
    </row>
    <row r="94" spans="2:4">
      <c r="B94" s="41">
        <v>52.5</v>
      </c>
      <c r="C94" s="33"/>
      <c r="D94" s="33">
        <f t="shared" si="1"/>
        <v>3150000</v>
      </c>
    </row>
    <row r="95" spans="2:4">
      <c r="B95" s="41"/>
      <c r="C95" s="33" t="s">
        <v>85</v>
      </c>
      <c r="D95" s="33"/>
    </row>
    <row r="96" spans="2:4">
      <c r="B96" s="41">
        <v>55</v>
      </c>
      <c r="C96" s="33"/>
      <c r="D96" s="33">
        <f t="shared" si="1"/>
        <v>3300000</v>
      </c>
    </row>
    <row r="97" spans="2:4">
      <c r="B97" s="41"/>
      <c r="C97" s="33" t="s">
        <v>86</v>
      </c>
      <c r="D97" s="33"/>
    </row>
    <row r="98" spans="2:4">
      <c r="B98" s="41">
        <v>57.5</v>
      </c>
      <c r="C98" s="33"/>
      <c r="D98" s="33">
        <f t="shared" si="1"/>
        <v>3450000</v>
      </c>
    </row>
    <row r="99" spans="2:4">
      <c r="B99" s="41"/>
      <c r="C99" s="33" t="s">
        <v>87</v>
      </c>
      <c r="D99" s="33"/>
    </row>
    <row r="100" spans="2:4" ht="15.75" thickBot="1">
      <c r="B100" s="42">
        <v>60</v>
      </c>
      <c r="C100" s="35"/>
      <c r="D100" s="35">
        <f t="shared" si="1"/>
        <v>3600000</v>
      </c>
    </row>
    <row r="101" spans="2:4">
      <c r="B101" s="258" t="s">
        <v>216</v>
      </c>
      <c r="C101" s="270"/>
      <c r="D101" s="271"/>
    </row>
    <row r="102" spans="2:4">
      <c r="B102" s="261"/>
      <c r="C102" s="262"/>
      <c r="D102" s="263"/>
    </row>
    <row r="103" spans="2:4">
      <c r="B103" s="261"/>
      <c r="C103" s="262"/>
      <c r="D103" s="263"/>
    </row>
    <row r="104" spans="2:4" ht="15.75" thickBot="1">
      <c r="B104" s="264"/>
      <c r="C104" s="265"/>
      <c r="D104" s="266"/>
    </row>
  </sheetData>
  <mergeCells count="2">
    <mergeCell ref="B2:D2"/>
    <mergeCell ref="B101:D104"/>
  </mergeCells>
  <printOptions horizontalCentered="1" verticalCentered="1"/>
  <pageMargins left="0.7" right="0.7" top="0.5" bottom="0.5" header="0.3" footer="0.3"/>
  <pageSetup fitToHeight="2" orientation="portrait" r:id="rId1"/>
  <headerFooter>
    <oddFooter>&amp;CTable 6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B1:D48"/>
  <sheetViews>
    <sheetView workbookViewId="0">
      <selection activeCell="G8" sqref="G8"/>
    </sheetView>
  </sheetViews>
  <sheetFormatPr defaultRowHeight="15"/>
  <cols>
    <col min="1" max="1" width="4.5703125" customWidth="1"/>
    <col min="2" max="2" width="15.42578125" customWidth="1"/>
    <col min="4" max="4" width="13.28515625" style="1" customWidth="1"/>
    <col min="5" max="5" width="4.7109375" customWidth="1"/>
  </cols>
  <sheetData>
    <row r="1" spans="2:4" ht="15.75" thickBot="1"/>
    <row r="2" spans="2:4" ht="15.75" thickBot="1">
      <c r="B2" s="255" t="s">
        <v>88</v>
      </c>
      <c r="C2" s="256"/>
      <c r="D2" s="257"/>
    </row>
    <row r="3" spans="2:4" ht="15.75" thickBot="1">
      <c r="B3" s="36" t="s">
        <v>91</v>
      </c>
      <c r="C3" s="36" t="s">
        <v>63</v>
      </c>
      <c r="D3" s="36" t="s">
        <v>100</v>
      </c>
    </row>
    <row r="4" spans="2:4">
      <c r="B4" s="34">
        <v>-300</v>
      </c>
      <c r="C4" s="34"/>
      <c r="D4" s="34">
        <f>B4*1000</f>
        <v>-300000</v>
      </c>
    </row>
    <row r="5" spans="2:4">
      <c r="B5" s="33"/>
      <c r="C5" s="33">
        <v>0</v>
      </c>
      <c r="D5" s="33"/>
    </row>
    <row r="6" spans="2:4">
      <c r="B6" s="33">
        <v>-270</v>
      </c>
      <c r="C6" s="33"/>
      <c r="D6" s="33">
        <f t="shared" ref="D6:D44" si="0">B6*1000</f>
        <v>-270000</v>
      </c>
    </row>
    <row r="7" spans="2:4">
      <c r="B7" s="33"/>
      <c r="C7" s="33">
        <v>1</v>
      </c>
      <c r="D7" s="33"/>
    </row>
    <row r="8" spans="2:4">
      <c r="B8" s="33">
        <v>-240</v>
      </c>
      <c r="C8" s="33"/>
      <c r="D8" s="33">
        <f t="shared" si="0"/>
        <v>-240000</v>
      </c>
    </row>
    <row r="9" spans="2:4">
      <c r="B9" s="33"/>
      <c r="C9" s="33">
        <v>2</v>
      </c>
      <c r="D9" s="33"/>
    </row>
    <row r="10" spans="2:4">
      <c r="B10" s="33">
        <v>-210</v>
      </c>
      <c r="C10" s="33"/>
      <c r="D10" s="33">
        <f t="shared" si="0"/>
        <v>-210000</v>
      </c>
    </row>
    <row r="11" spans="2:4">
      <c r="B11" s="33"/>
      <c r="C11" s="33">
        <v>3</v>
      </c>
      <c r="D11" s="33"/>
    </row>
    <row r="12" spans="2:4">
      <c r="B12" s="33">
        <v>-180</v>
      </c>
      <c r="C12" s="33"/>
      <c r="D12" s="33">
        <f t="shared" si="0"/>
        <v>-180000</v>
      </c>
    </row>
    <row r="13" spans="2:4">
      <c r="B13" s="33"/>
      <c r="C13" s="33">
        <v>4</v>
      </c>
      <c r="D13" s="33"/>
    </row>
    <row r="14" spans="2:4">
      <c r="B14" s="33">
        <v>-150</v>
      </c>
      <c r="C14" s="33"/>
      <c r="D14" s="33">
        <f t="shared" si="0"/>
        <v>-150000</v>
      </c>
    </row>
    <row r="15" spans="2:4">
      <c r="B15" s="33"/>
      <c r="C15" s="33">
        <v>5</v>
      </c>
      <c r="D15" s="33"/>
    </row>
    <row r="16" spans="2:4">
      <c r="B16" s="33">
        <v>-120</v>
      </c>
      <c r="C16" s="33"/>
      <c r="D16" s="33">
        <f t="shared" si="0"/>
        <v>-120000</v>
      </c>
    </row>
    <row r="17" spans="2:4">
      <c r="B17" s="33"/>
      <c r="C17" s="33">
        <v>6</v>
      </c>
      <c r="D17" s="33"/>
    </row>
    <row r="18" spans="2:4">
      <c r="B18" s="33">
        <v>-90</v>
      </c>
      <c r="C18" s="33"/>
      <c r="D18" s="33">
        <f t="shared" si="0"/>
        <v>-90000</v>
      </c>
    </row>
    <row r="19" spans="2:4">
      <c r="B19" s="33"/>
      <c r="C19" s="33">
        <v>7</v>
      </c>
      <c r="D19" s="33"/>
    </row>
    <row r="20" spans="2:4">
      <c r="B20" s="33">
        <v>-60</v>
      </c>
      <c r="C20" s="33"/>
      <c r="D20" s="33">
        <f t="shared" si="0"/>
        <v>-60000</v>
      </c>
    </row>
    <row r="21" spans="2:4">
      <c r="B21" s="33"/>
      <c r="C21" s="33">
        <v>8</v>
      </c>
      <c r="D21" s="33"/>
    </row>
    <row r="22" spans="2:4">
      <c r="B22" s="33">
        <v>-30</v>
      </c>
      <c r="C22" s="33"/>
      <c r="D22" s="33">
        <f t="shared" si="0"/>
        <v>-30000</v>
      </c>
    </row>
    <row r="23" spans="2:4">
      <c r="B23" s="33"/>
      <c r="C23" s="33">
        <v>9</v>
      </c>
      <c r="D23" s="33"/>
    </row>
    <row r="24" spans="2:4">
      <c r="B24" s="33">
        <v>0</v>
      </c>
      <c r="C24" s="33"/>
      <c r="D24" s="33">
        <f t="shared" si="0"/>
        <v>0</v>
      </c>
    </row>
    <row r="25" spans="2:4">
      <c r="B25" s="33"/>
      <c r="C25" s="33">
        <v>0</v>
      </c>
      <c r="D25" s="33"/>
    </row>
    <row r="26" spans="2:4">
      <c r="B26" s="33">
        <v>30</v>
      </c>
      <c r="C26" s="33"/>
      <c r="D26" s="33">
        <f t="shared" si="0"/>
        <v>30000</v>
      </c>
    </row>
    <row r="27" spans="2:4">
      <c r="B27" s="33"/>
      <c r="C27" s="33">
        <v>1</v>
      </c>
      <c r="D27" s="33"/>
    </row>
    <row r="28" spans="2:4">
      <c r="B28" s="33">
        <v>60</v>
      </c>
      <c r="C28" s="33"/>
      <c r="D28" s="33">
        <f t="shared" si="0"/>
        <v>60000</v>
      </c>
    </row>
    <row r="29" spans="2:4">
      <c r="B29" s="33"/>
      <c r="C29" s="33">
        <v>2</v>
      </c>
      <c r="D29" s="33"/>
    </row>
    <row r="30" spans="2:4">
      <c r="B30" s="33">
        <v>90</v>
      </c>
      <c r="C30" s="33"/>
      <c r="D30" s="33">
        <f t="shared" si="0"/>
        <v>90000</v>
      </c>
    </row>
    <row r="31" spans="2:4">
      <c r="B31" s="33"/>
      <c r="C31" s="33">
        <v>3</v>
      </c>
      <c r="D31" s="33"/>
    </row>
    <row r="32" spans="2:4">
      <c r="B32" s="33">
        <v>120</v>
      </c>
      <c r="C32" s="33"/>
      <c r="D32" s="33">
        <f t="shared" si="0"/>
        <v>120000</v>
      </c>
    </row>
    <row r="33" spans="2:4">
      <c r="B33" s="33"/>
      <c r="C33" s="33">
        <v>4</v>
      </c>
      <c r="D33" s="33"/>
    </row>
    <row r="34" spans="2:4">
      <c r="B34" s="33">
        <v>150</v>
      </c>
      <c r="C34" s="33"/>
      <c r="D34" s="33">
        <f t="shared" si="0"/>
        <v>150000</v>
      </c>
    </row>
    <row r="35" spans="2:4">
      <c r="B35" s="33"/>
      <c r="C35" s="33">
        <v>5</v>
      </c>
      <c r="D35" s="33"/>
    </row>
    <row r="36" spans="2:4">
      <c r="B36" s="33">
        <v>180</v>
      </c>
      <c r="C36" s="33"/>
      <c r="D36" s="33">
        <f t="shared" si="0"/>
        <v>180000</v>
      </c>
    </row>
    <row r="37" spans="2:4">
      <c r="B37" s="33"/>
      <c r="C37" s="33">
        <v>6</v>
      </c>
      <c r="D37" s="33"/>
    </row>
    <row r="38" spans="2:4">
      <c r="B38" s="33">
        <v>210</v>
      </c>
      <c r="C38" s="33"/>
      <c r="D38" s="33">
        <f t="shared" si="0"/>
        <v>210000</v>
      </c>
    </row>
    <row r="39" spans="2:4">
      <c r="B39" s="33"/>
      <c r="C39" s="33">
        <v>7</v>
      </c>
      <c r="D39" s="33"/>
    </row>
    <row r="40" spans="2:4">
      <c r="B40" s="33">
        <v>240</v>
      </c>
      <c r="C40" s="33"/>
      <c r="D40" s="33">
        <f t="shared" si="0"/>
        <v>240000</v>
      </c>
    </row>
    <row r="41" spans="2:4">
      <c r="B41" s="33"/>
      <c r="C41" s="33">
        <v>8</v>
      </c>
      <c r="D41" s="33"/>
    </row>
    <row r="42" spans="2:4">
      <c r="B42" s="33">
        <v>270</v>
      </c>
      <c r="C42" s="33"/>
      <c r="D42" s="33">
        <f t="shared" si="0"/>
        <v>270000</v>
      </c>
    </row>
    <row r="43" spans="2:4">
      <c r="B43" s="33"/>
      <c r="C43" s="33">
        <v>9</v>
      </c>
      <c r="D43" s="33"/>
    </row>
    <row r="44" spans="2:4" ht="15.75" thickBot="1">
      <c r="B44" s="35">
        <v>300</v>
      </c>
      <c r="C44" s="35"/>
      <c r="D44" s="35">
        <f t="shared" si="0"/>
        <v>300000</v>
      </c>
    </row>
    <row r="45" spans="2:4">
      <c r="B45" s="258" t="s">
        <v>217</v>
      </c>
      <c r="C45" s="270"/>
      <c r="D45" s="271"/>
    </row>
    <row r="46" spans="2:4">
      <c r="B46" s="272"/>
      <c r="C46" s="273"/>
      <c r="D46" s="274"/>
    </row>
    <row r="47" spans="2:4">
      <c r="B47" s="272"/>
      <c r="C47" s="273"/>
      <c r="D47" s="274"/>
    </row>
    <row r="48" spans="2:4" ht="15.75" thickBot="1">
      <c r="B48" s="275"/>
      <c r="C48" s="276"/>
      <c r="D48" s="277"/>
    </row>
  </sheetData>
  <mergeCells count="2">
    <mergeCell ref="B2:D2"/>
    <mergeCell ref="B45:D48"/>
  </mergeCells>
  <printOptions horizontalCentered="1" verticalCentered="1"/>
  <pageMargins left="0.7" right="0.7" top="0.75" bottom="0.75" header="0.3" footer="0.3"/>
  <pageSetup orientation="portrait" r:id="rId1"/>
  <headerFooter>
    <oddFooter>&amp;CTable 7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B1:I48"/>
  <sheetViews>
    <sheetView workbookViewId="0">
      <selection activeCell="G9" sqref="G9"/>
    </sheetView>
  </sheetViews>
  <sheetFormatPr defaultRowHeight="15"/>
  <cols>
    <col min="1" max="1" width="4.42578125" customWidth="1"/>
    <col min="2" max="2" width="14" customWidth="1"/>
    <col min="4" max="4" width="17" style="1" customWidth="1"/>
    <col min="5" max="5" width="5.140625" customWidth="1"/>
  </cols>
  <sheetData>
    <row r="1" spans="2:4" ht="15.75" thickBot="1"/>
    <row r="2" spans="2:4" ht="15.75" thickBot="1">
      <c r="B2" s="267" t="s">
        <v>89</v>
      </c>
      <c r="C2" s="268"/>
      <c r="D2" s="269"/>
    </row>
    <row r="3" spans="2:4" ht="15.75" thickBot="1">
      <c r="B3" s="36" t="s">
        <v>91</v>
      </c>
      <c r="C3" s="36" t="s">
        <v>63</v>
      </c>
      <c r="D3" s="36" t="s">
        <v>100</v>
      </c>
    </row>
    <row r="4" spans="2:4">
      <c r="B4" s="34">
        <v>-150</v>
      </c>
      <c r="C4" s="34"/>
      <c r="D4" s="34">
        <f>B4*1000</f>
        <v>-150000</v>
      </c>
    </row>
    <row r="5" spans="2:4">
      <c r="B5" s="33"/>
      <c r="C5" s="33">
        <v>0</v>
      </c>
      <c r="D5" s="33"/>
    </row>
    <row r="6" spans="2:4">
      <c r="B6" s="33">
        <v>-135</v>
      </c>
      <c r="C6" s="33"/>
      <c r="D6" s="33">
        <f t="shared" ref="D6:D44" si="0">B6*1000</f>
        <v>-135000</v>
      </c>
    </row>
    <row r="7" spans="2:4">
      <c r="B7" s="33"/>
      <c r="C7" s="33">
        <v>1</v>
      </c>
      <c r="D7" s="33"/>
    </row>
    <row r="8" spans="2:4">
      <c r="B8" s="33">
        <v>-120</v>
      </c>
      <c r="C8" s="33"/>
      <c r="D8" s="33">
        <f t="shared" si="0"/>
        <v>-120000</v>
      </c>
    </row>
    <row r="9" spans="2:4">
      <c r="B9" s="33"/>
      <c r="C9" s="33">
        <v>2</v>
      </c>
      <c r="D9" s="33"/>
    </row>
    <row r="10" spans="2:4">
      <c r="B10" s="33">
        <v>-105</v>
      </c>
      <c r="C10" s="33"/>
      <c r="D10" s="33">
        <f t="shared" si="0"/>
        <v>-105000</v>
      </c>
    </row>
    <row r="11" spans="2:4">
      <c r="B11" s="33"/>
      <c r="C11" s="33">
        <v>3</v>
      </c>
      <c r="D11" s="33"/>
    </row>
    <row r="12" spans="2:4">
      <c r="B12" s="33">
        <v>-90</v>
      </c>
      <c r="C12" s="33"/>
      <c r="D12" s="33">
        <f t="shared" si="0"/>
        <v>-90000</v>
      </c>
    </row>
    <row r="13" spans="2:4">
      <c r="B13" s="33"/>
      <c r="C13" s="33">
        <v>4</v>
      </c>
      <c r="D13" s="33"/>
    </row>
    <row r="14" spans="2:4">
      <c r="B14" s="33">
        <v>-75</v>
      </c>
      <c r="C14" s="33"/>
      <c r="D14" s="33">
        <f t="shared" si="0"/>
        <v>-75000</v>
      </c>
    </row>
    <row r="15" spans="2:4">
      <c r="B15" s="33"/>
      <c r="C15" s="33">
        <v>5</v>
      </c>
      <c r="D15" s="33"/>
    </row>
    <row r="16" spans="2:4">
      <c r="B16" s="33">
        <v>-60</v>
      </c>
      <c r="C16" s="33"/>
      <c r="D16" s="33">
        <f t="shared" si="0"/>
        <v>-60000</v>
      </c>
    </row>
    <row r="17" spans="2:4">
      <c r="B17" s="33"/>
      <c r="C17" s="33">
        <v>6</v>
      </c>
      <c r="D17" s="33"/>
    </row>
    <row r="18" spans="2:4">
      <c r="B18" s="33">
        <v>-45</v>
      </c>
      <c r="C18" s="33"/>
      <c r="D18" s="33">
        <f t="shared" si="0"/>
        <v>-45000</v>
      </c>
    </row>
    <row r="19" spans="2:4">
      <c r="B19" s="33"/>
      <c r="C19" s="33">
        <v>7</v>
      </c>
      <c r="D19" s="33"/>
    </row>
    <row r="20" spans="2:4">
      <c r="B20" s="33">
        <v>-30</v>
      </c>
      <c r="C20" s="33"/>
      <c r="D20" s="33">
        <f t="shared" si="0"/>
        <v>-30000</v>
      </c>
    </row>
    <row r="21" spans="2:4">
      <c r="B21" s="33"/>
      <c r="C21" s="33">
        <v>8</v>
      </c>
      <c r="D21" s="33"/>
    </row>
    <row r="22" spans="2:4">
      <c r="B22" s="33">
        <v>-15</v>
      </c>
      <c r="C22" s="33"/>
      <c r="D22" s="33">
        <f t="shared" si="0"/>
        <v>-15000</v>
      </c>
    </row>
    <row r="23" spans="2:4">
      <c r="B23" s="33"/>
      <c r="C23" s="33">
        <v>9</v>
      </c>
      <c r="D23" s="33"/>
    </row>
    <row r="24" spans="2:4">
      <c r="B24" s="33">
        <v>0</v>
      </c>
      <c r="C24" s="33"/>
      <c r="D24" s="33">
        <f t="shared" si="0"/>
        <v>0</v>
      </c>
    </row>
    <row r="25" spans="2:4">
      <c r="B25" s="33"/>
      <c r="C25" s="33">
        <v>0</v>
      </c>
      <c r="D25" s="33"/>
    </row>
    <row r="26" spans="2:4">
      <c r="B26" s="33">
        <v>15</v>
      </c>
      <c r="C26" s="33"/>
      <c r="D26" s="33">
        <f t="shared" si="0"/>
        <v>15000</v>
      </c>
    </row>
    <row r="27" spans="2:4">
      <c r="B27" s="33"/>
      <c r="C27" s="33">
        <v>1</v>
      </c>
      <c r="D27" s="33"/>
    </row>
    <row r="28" spans="2:4">
      <c r="B28" s="33">
        <v>30</v>
      </c>
      <c r="C28" s="33"/>
      <c r="D28" s="33">
        <f t="shared" si="0"/>
        <v>30000</v>
      </c>
    </row>
    <row r="29" spans="2:4">
      <c r="B29" s="33"/>
      <c r="C29" s="33">
        <v>2</v>
      </c>
      <c r="D29" s="33"/>
    </row>
    <row r="30" spans="2:4">
      <c r="B30" s="33">
        <v>45</v>
      </c>
      <c r="C30" s="33"/>
      <c r="D30" s="33">
        <f t="shared" si="0"/>
        <v>45000</v>
      </c>
    </row>
    <row r="31" spans="2:4">
      <c r="B31" s="33"/>
      <c r="C31" s="33">
        <v>3</v>
      </c>
      <c r="D31" s="33"/>
    </row>
    <row r="32" spans="2:4">
      <c r="B32" s="33">
        <v>60</v>
      </c>
      <c r="C32" s="33"/>
      <c r="D32" s="33">
        <f t="shared" si="0"/>
        <v>60000</v>
      </c>
    </row>
    <row r="33" spans="2:9">
      <c r="B33" s="33"/>
      <c r="C33" s="33">
        <v>4</v>
      </c>
      <c r="D33" s="33"/>
    </row>
    <row r="34" spans="2:9">
      <c r="B34" s="33">
        <v>75</v>
      </c>
      <c r="C34" s="33"/>
      <c r="D34" s="33">
        <f t="shared" si="0"/>
        <v>75000</v>
      </c>
    </row>
    <row r="35" spans="2:9">
      <c r="B35" s="33"/>
      <c r="C35" s="33">
        <v>5</v>
      </c>
      <c r="D35" s="33"/>
      <c r="I35" s="1"/>
    </row>
    <row r="36" spans="2:9">
      <c r="B36" s="33">
        <v>90</v>
      </c>
      <c r="C36" s="33"/>
      <c r="D36" s="33">
        <f t="shared" si="0"/>
        <v>90000</v>
      </c>
    </row>
    <row r="37" spans="2:9">
      <c r="B37" s="33"/>
      <c r="C37" s="33">
        <v>6</v>
      </c>
      <c r="D37" s="33"/>
    </row>
    <row r="38" spans="2:9">
      <c r="B38" s="33">
        <v>105</v>
      </c>
      <c r="C38" s="33"/>
      <c r="D38" s="33">
        <f t="shared" si="0"/>
        <v>105000</v>
      </c>
    </row>
    <row r="39" spans="2:9">
      <c r="B39" s="33"/>
      <c r="C39" s="33">
        <v>7</v>
      </c>
      <c r="D39" s="33"/>
    </row>
    <row r="40" spans="2:9">
      <c r="B40" s="33">
        <v>120</v>
      </c>
      <c r="C40" s="33"/>
      <c r="D40" s="33">
        <f t="shared" si="0"/>
        <v>120000</v>
      </c>
    </row>
    <row r="41" spans="2:9">
      <c r="B41" s="33"/>
      <c r="C41" s="33">
        <v>8</v>
      </c>
      <c r="D41" s="33"/>
    </row>
    <row r="42" spans="2:9">
      <c r="B42" s="33">
        <v>135</v>
      </c>
      <c r="C42" s="33"/>
      <c r="D42" s="33">
        <f t="shared" si="0"/>
        <v>135000</v>
      </c>
    </row>
    <row r="43" spans="2:9">
      <c r="B43" s="33"/>
      <c r="C43" s="33">
        <v>9</v>
      </c>
      <c r="D43" s="33"/>
    </row>
    <row r="44" spans="2:9" ht="15.75" thickBot="1">
      <c r="B44" s="35">
        <v>150</v>
      </c>
      <c r="C44" s="35"/>
      <c r="D44" s="35">
        <f t="shared" si="0"/>
        <v>150000</v>
      </c>
    </row>
    <row r="45" spans="2:9">
      <c r="B45" s="258" t="s">
        <v>218</v>
      </c>
      <c r="C45" s="259"/>
      <c r="D45" s="260"/>
    </row>
    <row r="46" spans="2:9">
      <c r="B46" s="261"/>
      <c r="C46" s="262"/>
      <c r="D46" s="263"/>
    </row>
    <row r="47" spans="2:9">
      <c r="B47" s="261"/>
      <c r="C47" s="262"/>
      <c r="D47" s="263"/>
    </row>
    <row r="48" spans="2:9" ht="15.75" thickBot="1">
      <c r="B48" s="264"/>
      <c r="C48" s="265"/>
      <c r="D48" s="266"/>
    </row>
  </sheetData>
  <mergeCells count="2">
    <mergeCell ref="B2:D2"/>
    <mergeCell ref="B45:D48"/>
  </mergeCells>
  <printOptions horizontalCentered="1" verticalCentered="1"/>
  <pageMargins left="0.7" right="0.7" top="0.75" bottom="0.75" header="0.3" footer="0.3"/>
  <pageSetup orientation="portrait" r:id="rId1"/>
  <headerFooter>
    <oddFooter>&amp;CTable 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04"/>
  <sheetViews>
    <sheetView workbookViewId="0">
      <selection activeCell="F2" sqref="F2"/>
    </sheetView>
  </sheetViews>
  <sheetFormatPr defaultRowHeight="15"/>
  <cols>
    <col min="1" max="1" width="4.28515625" customWidth="1"/>
    <col min="2" max="2" width="15.140625" style="43" customWidth="1"/>
    <col min="4" max="4" width="14.28515625" style="1" customWidth="1"/>
    <col min="5" max="5" width="4.85546875" customWidth="1"/>
  </cols>
  <sheetData>
    <row r="1" spans="2:4" ht="15.75" thickBot="1"/>
    <row r="2" spans="2:4" ht="15.75" thickBot="1">
      <c r="B2" s="278" t="s">
        <v>88</v>
      </c>
      <c r="C2" s="256"/>
      <c r="D2" s="257"/>
    </row>
    <row r="3" spans="2:4" ht="15.75" thickBot="1">
      <c r="B3" s="44" t="s">
        <v>91</v>
      </c>
      <c r="C3" s="36" t="s">
        <v>62</v>
      </c>
      <c r="D3" s="36" t="s">
        <v>100</v>
      </c>
    </row>
    <row r="4" spans="2:4">
      <c r="B4" s="37">
        <v>-30</v>
      </c>
      <c r="C4" s="34"/>
      <c r="D4" s="34">
        <f>B4*1000</f>
        <v>-30000</v>
      </c>
    </row>
    <row r="5" spans="2:4">
      <c r="B5" s="38"/>
      <c r="C5" s="33" t="s">
        <v>64</v>
      </c>
      <c r="D5" s="33"/>
    </row>
    <row r="6" spans="2:4">
      <c r="B6" s="38">
        <v>-28.75</v>
      </c>
      <c r="C6" s="33"/>
      <c r="D6" s="33">
        <f t="shared" ref="D6:D68" si="0">B6*1000</f>
        <v>-28750</v>
      </c>
    </row>
    <row r="7" spans="2:4">
      <c r="B7" s="38"/>
      <c r="C7" s="33" t="s">
        <v>65</v>
      </c>
      <c r="D7" s="33"/>
    </row>
    <row r="8" spans="2:4">
      <c r="B8" s="38">
        <v>-27.5</v>
      </c>
      <c r="C8" s="33"/>
      <c r="D8" s="33">
        <f t="shared" si="0"/>
        <v>-27500</v>
      </c>
    </row>
    <row r="9" spans="2:4">
      <c r="B9" s="38"/>
      <c r="C9" s="33" t="s">
        <v>66</v>
      </c>
      <c r="D9" s="33"/>
    </row>
    <row r="10" spans="2:4">
      <c r="B10" s="38">
        <v>-26.25</v>
      </c>
      <c r="C10" s="33"/>
      <c r="D10" s="33">
        <f t="shared" si="0"/>
        <v>-26250</v>
      </c>
    </row>
    <row r="11" spans="2:4">
      <c r="B11" s="38"/>
      <c r="C11" s="33" t="s">
        <v>67</v>
      </c>
      <c r="D11" s="33"/>
    </row>
    <row r="12" spans="2:4">
      <c r="B12" s="38">
        <v>-25</v>
      </c>
      <c r="C12" s="33"/>
      <c r="D12" s="33">
        <f t="shared" si="0"/>
        <v>-25000</v>
      </c>
    </row>
    <row r="13" spans="2:4">
      <c r="B13" s="38"/>
      <c r="C13" s="33" t="s">
        <v>68</v>
      </c>
      <c r="D13" s="33"/>
    </row>
    <row r="14" spans="2:4">
      <c r="B14" s="38">
        <v>-23.75</v>
      </c>
      <c r="C14" s="33"/>
      <c r="D14" s="33">
        <f t="shared" si="0"/>
        <v>-23750</v>
      </c>
    </row>
    <row r="15" spans="2:4">
      <c r="B15" s="38"/>
      <c r="C15" s="33" t="s">
        <v>69</v>
      </c>
      <c r="D15" s="33"/>
    </row>
    <row r="16" spans="2:4">
      <c r="B16" s="38">
        <v>-22.5</v>
      </c>
      <c r="C16" s="33"/>
      <c r="D16" s="33">
        <f t="shared" si="0"/>
        <v>-22500</v>
      </c>
    </row>
    <row r="17" spans="2:4">
      <c r="B17" s="38"/>
      <c r="C17" s="33" t="s">
        <v>70</v>
      </c>
      <c r="D17" s="33"/>
    </row>
    <row r="18" spans="2:4">
      <c r="B18" s="38">
        <v>-21.25</v>
      </c>
      <c r="C18" s="33"/>
      <c r="D18" s="33">
        <f t="shared" si="0"/>
        <v>-21250</v>
      </c>
    </row>
    <row r="19" spans="2:4">
      <c r="B19" s="38"/>
      <c r="C19" s="33" t="s">
        <v>71</v>
      </c>
      <c r="D19" s="33"/>
    </row>
    <row r="20" spans="2:4">
      <c r="B20" s="38">
        <v>-20</v>
      </c>
      <c r="C20" s="33"/>
      <c r="D20" s="33">
        <f t="shared" si="0"/>
        <v>-20000</v>
      </c>
    </row>
    <row r="21" spans="2:4">
      <c r="B21" s="38"/>
      <c r="C21" s="33" t="s">
        <v>72</v>
      </c>
      <c r="D21" s="33"/>
    </row>
    <row r="22" spans="2:4">
      <c r="B22" s="38">
        <v>-18.75</v>
      </c>
      <c r="C22" s="33"/>
      <c r="D22" s="33">
        <f t="shared" si="0"/>
        <v>-18750</v>
      </c>
    </row>
    <row r="23" spans="2:4">
      <c r="B23" s="38"/>
      <c r="C23" s="33" t="s">
        <v>73</v>
      </c>
      <c r="D23" s="33"/>
    </row>
    <row r="24" spans="2:4">
      <c r="B24" s="38">
        <v>-17.5</v>
      </c>
      <c r="C24" s="33"/>
      <c r="D24" s="33">
        <f t="shared" si="0"/>
        <v>-17500</v>
      </c>
    </row>
    <row r="25" spans="2:4">
      <c r="B25" s="38"/>
      <c r="C25" s="33" t="s">
        <v>74</v>
      </c>
      <c r="D25" s="33"/>
    </row>
    <row r="26" spans="2:4">
      <c r="B26" s="38">
        <v>-16.25</v>
      </c>
      <c r="C26" s="33"/>
      <c r="D26" s="33">
        <f t="shared" si="0"/>
        <v>-16250</v>
      </c>
    </row>
    <row r="27" spans="2:4">
      <c r="B27" s="38"/>
      <c r="C27" s="33" t="s">
        <v>75</v>
      </c>
      <c r="D27" s="33"/>
    </row>
    <row r="28" spans="2:4">
      <c r="B28" s="38">
        <v>-15</v>
      </c>
      <c r="C28" s="33"/>
      <c r="D28" s="33">
        <f t="shared" si="0"/>
        <v>-15000</v>
      </c>
    </row>
    <row r="29" spans="2:4">
      <c r="B29" s="38"/>
      <c r="C29" s="33" t="s">
        <v>76</v>
      </c>
      <c r="D29" s="33"/>
    </row>
    <row r="30" spans="2:4">
      <c r="B30" s="38">
        <v>-13.75</v>
      </c>
      <c r="C30" s="33"/>
      <c r="D30" s="33">
        <f t="shared" si="0"/>
        <v>-13750</v>
      </c>
    </row>
    <row r="31" spans="2:4">
      <c r="B31" s="38"/>
      <c r="C31" s="33" t="s">
        <v>77</v>
      </c>
      <c r="D31" s="33"/>
    </row>
    <row r="32" spans="2:4">
      <c r="B32" s="38">
        <v>-12.5</v>
      </c>
      <c r="C32" s="33"/>
      <c r="D32" s="33">
        <f t="shared" si="0"/>
        <v>-12500</v>
      </c>
    </row>
    <row r="33" spans="2:4">
      <c r="B33" s="38"/>
      <c r="C33" s="33" t="s">
        <v>78</v>
      </c>
      <c r="D33" s="33"/>
    </row>
    <row r="34" spans="2:4">
      <c r="B34" s="38">
        <v>-11.25</v>
      </c>
      <c r="C34" s="33"/>
      <c r="D34" s="33">
        <f t="shared" si="0"/>
        <v>-11250</v>
      </c>
    </row>
    <row r="35" spans="2:4">
      <c r="B35" s="38"/>
      <c r="C35" s="33" t="s">
        <v>79</v>
      </c>
      <c r="D35" s="33"/>
    </row>
    <row r="36" spans="2:4">
      <c r="B36" s="38">
        <v>-10</v>
      </c>
      <c r="C36" s="33"/>
      <c r="D36" s="33">
        <f t="shared" si="0"/>
        <v>-10000</v>
      </c>
    </row>
    <row r="37" spans="2:4">
      <c r="B37" s="38"/>
      <c r="C37" s="33" t="s">
        <v>80</v>
      </c>
      <c r="D37" s="33"/>
    </row>
    <row r="38" spans="2:4">
      <c r="B38" s="38">
        <v>-8.75</v>
      </c>
      <c r="C38" s="33"/>
      <c r="D38" s="33">
        <f t="shared" si="0"/>
        <v>-8750</v>
      </c>
    </row>
    <row r="39" spans="2:4">
      <c r="B39" s="38"/>
      <c r="C39" s="33" t="s">
        <v>81</v>
      </c>
      <c r="D39" s="33"/>
    </row>
    <row r="40" spans="2:4">
      <c r="B40" s="38">
        <v>-7.5</v>
      </c>
      <c r="C40" s="33"/>
      <c r="D40" s="33">
        <f t="shared" si="0"/>
        <v>-7500</v>
      </c>
    </row>
    <row r="41" spans="2:4">
      <c r="B41" s="38"/>
      <c r="C41" s="33" t="s">
        <v>82</v>
      </c>
      <c r="D41" s="33"/>
    </row>
    <row r="42" spans="2:4">
      <c r="B42" s="38">
        <v>-6.25</v>
      </c>
      <c r="C42" s="33"/>
      <c r="D42" s="33">
        <f t="shared" si="0"/>
        <v>-6250</v>
      </c>
    </row>
    <row r="43" spans="2:4">
      <c r="B43" s="38"/>
      <c r="C43" s="33" t="s">
        <v>83</v>
      </c>
      <c r="D43" s="33"/>
    </row>
    <row r="44" spans="2:4">
      <c r="B44" s="38">
        <v>-5</v>
      </c>
      <c r="C44" s="33"/>
      <c r="D44" s="33">
        <f t="shared" si="0"/>
        <v>-5000</v>
      </c>
    </row>
    <row r="45" spans="2:4">
      <c r="B45" s="38"/>
      <c r="C45" s="33" t="s">
        <v>84</v>
      </c>
      <c r="D45" s="33"/>
    </row>
    <row r="46" spans="2:4">
      <c r="B46" s="38">
        <v>-3.75</v>
      </c>
      <c r="C46" s="33"/>
      <c r="D46" s="33">
        <f t="shared" si="0"/>
        <v>-3750</v>
      </c>
    </row>
    <row r="47" spans="2:4">
      <c r="B47" s="38"/>
      <c r="C47" s="33" t="s">
        <v>85</v>
      </c>
      <c r="D47" s="33"/>
    </row>
    <row r="48" spans="2:4">
      <c r="B48" s="38">
        <v>-2.5</v>
      </c>
      <c r="C48" s="33"/>
      <c r="D48" s="33">
        <f t="shared" si="0"/>
        <v>-2500</v>
      </c>
    </row>
    <row r="49" spans="2:4">
      <c r="B49" s="38"/>
      <c r="C49" s="33" t="s">
        <v>86</v>
      </c>
      <c r="D49" s="33"/>
    </row>
    <row r="50" spans="2:4">
      <c r="B50" s="38">
        <v>-1.25</v>
      </c>
      <c r="C50" s="33"/>
      <c r="D50" s="33">
        <f t="shared" si="0"/>
        <v>-1250</v>
      </c>
    </row>
    <row r="51" spans="2:4">
      <c r="B51" s="38"/>
      <c r="C51" s="33" t="s">
        <v>87</v>
      </c>
      <c r="D51" s="33"/>
    </row>
    <row r="52" spans="2:4">
      <c r="B52" s="38">
        <v>0</v>
      </c>
      <c r="C52" s="33"/>
      <c r="D52" s="33">
        <f t="shared" si="0"/>
        <v>0</v>
      </c>
    </row>
    <row r="53" spans="2:4">
      <c r="B53" s="38"/>
      <c r="C53" s="33" t="s">
        <v>64</v>
      </c>
      <c r="D53" s="33"/>
    </row>
    <row r="54" spans="2:4">
      <c r="B54" s="38">
        <v>1.25</v>
      </c>
      <c r="C54" s="33"/>
      <c r="D54" s="33">
        <f t="shared" si="0"/>
        <v>1250</v>
      </c>
    </row>
    <row r="55" spans="2:4">
      <c r="B55" s="38"/>
      <c r="C55" s="33" t="s">
        <v>65</v>
      </c>
      <c r="D55" s="33"/>
    </row>
    <row r="56" spans="2:4">
      <c r="B56" s="38">
        <v>2.5</v>
      </c>
      <c r="C56" s="33"/>
      <c r="D56" s="33">
        <f t="shared" si="0"/>
        <v>2500</v>
      </c>
    </row>
    <row r="57" spans="2:4">
      <c r="B57" s="38"/>
      <c r="C57" s="33" t="s">
        <v>66</v>
      </c>
      <c r="D57" s="33"/>
    </row>
    <row r="58" spans="2:4">
      <c r="B58" s="38">
        <v>3.75</v>
      </c>
      <c r="C58" s="33"/>
      <c r="D58" s="33">
        <f t="shared" si="0"/>
        <v>3750</v>
      </c>
    </row>
    <row r="59" spans="2:4">
      <c r="B59" s="38"/>
      <c r="C59" s="33" t="s">
        <v>67</v>
      </c>
      <c r="D59" s="33"/>
    </row>
    <row r="60" spans="2:4">
      <c r="B60" s="38">
        <v>5</v>
      </c>
      <c r="C60" s="33"/>
      <c r="D60" s="33">
        <f t="shared" si="0"/>
        <v>5000</v>
      </c>
    </row>
    <row r="61" spans="2:4">
      <c r="B61" s="38"/>
      <c r="C61" s="33" t="s">
        <v>68</v>
      </c>
      <c r="D61" s="33"/>
    </row>
    <row r="62" spans="2:4">
      <c r="B62" s="38">
        <v>6.25</v>
      </c>
      <c r="C62" s="33"/>
      <c r="D62" s="33">
        <f t="shared" si="0"/>
        <v>6250</v>
      </c>
    </row>
    <row r="63" spans="2:4">
      <c r="B63" s="38"/>
      <c r="C63" s="33" t="s">
        <v>69</v>
      </c>
      <c r="D63" s="33"/>
    </row>
    <row r="64" spans="2:4">
      <c r="B64" s="38">
        <v>7.5</v>
      </c>
      <c r="C64" s="33"/>
      <c r="D64" s="33">
        <f t="shared" si="0"/>
        <v>7500</v>
      </c>
    </row>
    <row r="65" spans="2:4">
      <c r="B65" s="38"/>
      <c r="C65" s="33" t="s">
        <v>70</v>
      </c>
      <c r="D65" s="33"/>
    </row>
    <row r="66" spans="2:4">
      <c r="B66" s="38">
        <v>8.75</v>
      </c>
      <c r="C66" s="33"/>
      <c r="D66" s="33">
        <f t="shared" si="0"/>
        <v>8750</v>
      </c>
    </row>
    <row r="67" spans="2:4">
      <c r="B67" s="38"/>
      <c r="C67" s="33" t="s">
        <v>71</v>
      </c>
      <c r="D67" s="33"/>
    </row>
    <row r="68" spans="2:4">
      <c r="B68" s="38">
        <v>10</v>
      </c>
      <c r="C68" s="33"/>
      <c r="D68" s="33">
        <f t="shared" si="0"/>
        <v>10000</v>
      </c>
    </row>
    <row r="69" spans="2:4">
      <c r="B69" s="38"/>
      <c r="C69" s="33" t="s">
        <v>72</v>
      </c>
      <c r="D69" s="33"/>
    </row>
    <row r="70" spans="2:4">
      <c r="B70" s="38">
        <v>11.25</v>
      </c>
      <c r="C70" s="33"/>
      <c r="D70" s="33">
        <f t="shared" ref="D70:D100" si="1">B70*1000</f>
        <v>11250</v>
      </c>
    </row>
    <row r="71" spans="2:4">
      <c r="B71" s="38"/>
      <c r="C71" s="33" t="s">
        <v>73</v>
      </c>
      <c r="D71" s="33"/>
    </row>
    <row r="72" spans="2:4">
      <c r="B72" s="38">
        <v>12.5</v>
      </c>
      <c r="C72" s="33"/>
      <c r="D72" s="33">
        <f t="shared" si="1"/>
        <v>12500</v>
      </c>
    </row>
    <row r="73" spans="2:4">
      <c r="B73" s="38"/>
      <c r="C73" s="33" t="s">
        <v>74</v>
      </c>
      <c r="D73" s="33"/>
    </row>
    <row r="74" spans="2:4">
      <c r="B74" s="38">
        <v>13.75</v>
      </c>
      <c r="C74" s="33"/>
      <c r="D74" s="33">
        <f t="shared" si="1"/>
        <v>13750</v>
      </c>
    </row>
    <row r="75" spans="2:4">
      <c r="B75" s="38"/>
      <c r="C75" s="33" t="s">
        <v>75</v>
      </c>
      <c r="D75" s="33"/>
    </row>
    <row r="76" spans="2:4">
      <c r="B76" s="38">
        <v>15</v>
      </c>
      <c r="C76" s="33"/>
      <c r="D76" s="33">
        <f t="shared" si="1"/>
        <v>15000</v>
      </c>
    </row>
    <row r="77" spans="2:4">
      <c r="B77" s="38"/>
      <c r="C77" s="33" t="s">
        <v>76</v>
      </c>
      <c r="D77" s="33"/>
    </row>
    <row r="78" spans="2:4">
      <c r="B78" s="38">
        <v>16.25</v>
      </c>
      <c r="C78" s="33"/>
      <c r="D78" s="33">
        <f t="shared" si="1"/>
        <v>16250</v>
      </c>
    </row>
    <row r="79" spans="2:4">
      <c r="B79" s="38"/>
      <c r="C79" s="33" t="s">
        <v>77</v>
      </c>
      <c r="D79" s="33"/>
    </row>
    <row r="80" spans="2:4">
      <c r="B80" s="38">
        <v>17.5</v>
      </c>
      <c r="C80" s="33"/>
      <c r="D80" s="33">
        <f t="shared" si="1"/>
        <v>17500</v>
      </c>
    </row>
    <row r="81" spans="2:4">
      <c r="B81" s="38"/>
      <c r="C81" s="33" t="s">
        <v>78</v>
      </c>
      <c r="D81" s="33"/>
    </row>
    <row r="82" spans="2:4">
      <c r="B82" s="38">
        <v>18.75</v>
      </c>
      <c r="C82" s="33"/>
      <c r="D82" s="33">
        <f t="shared" si="1"/>
        <v>18750</v>
      </c>
    </row>
    <row r="83" spans="2:4">
      <c r="B83" s="38"/>
      <c r="C83" s="33" t="s">
        <v>79</v>
      </c>
      <c r="D83" s="33"/>
    </row>
    <row r="84" spans="2:4">
      <c r="B84" s="38">
        <v>20</v>
      </c>
      <c r="C84" s="33"/>
      <c r="D84" s="33">
        <f t="shared" si="1"/>
        <v>20000</v>
      </c>
    </row>
    <row r="85" spans="2:4">
      <c r="B85" s="38"/>
      <c r="C85" s="33" t="s">
        <v>80</v>
      </c>
      <c r="D85" s="33"/>
    </row>
    <row r="86" spans="2:4">
      <c r="B86" s="38">
        <v>21.25</v>
      </c>
      <c r="C86" s="33"/>
      <c r="D86" s="33">
        <f t="shared" si="1"/>
        <v>21250</v>
      </c>
    </row>
    <row r="87" spans="2:4">
      <c r="B87" s="38"/>
      <c r="C87" s="33" t="s">
        <v>81</v>
      </c>
      <c r="D87" s="33"/>
    </row>
    <row r="88" spans="2:4">
      <c r="B88" s="38">
        <v>22.5</v>
      </c>
      <c r="C88" s="33"/>
      <c r="D88" s="33">
        <f t="shared" si="1"/>
        <v>22500</v>
      </c>
    </row>
    <row r="89" spans="2:4">
      <c r="B89" s="38"/>
      <c r="C89" s="33" t="s">
        <v>82</v>
      </c>
      <c r="D89" s="33"/>
    </row>
    <row r="90" spans="2:4">
      <c r="B90" s="38">
        <v>23.75</v>
      </c>
      <c r="C90" s="33"/>
      <c r="D90" s="33">
        <f t="shared" si="1"/>
        <v>23750</v>
      </c>
    </row>
    <row r="91" spans="2:4">
      <c r="B91" s="38"/>
      <c r="C91" s="33" t="s">
        <v>83</v>
      </c>
      <c r="D91" s="33"/>
    </row>
    <row r="92" spans="2:4">
      <c r="B92" s="38">
        <v>25</v>
      </c>
      <c r="C92" s="33"/>
      <c r="D92" s="33">
        <f t="shared" si="1"/>
        <v>25000</v>
      </c>
    </row>
    <row r="93" spans="2:4">
      <c r="B93" s="38"/>
      <c r="C93" s="33" t="s">
        <v>84</v>
      </c>
      <c r="D93" s="33"/>
    </row>
    <row r="94" spans="2:4">
      <c r="B94" s="38">
        <v>26.25</v>
      </c>
      <c r="C94" s="33"/>
      <c r="D94" s="33">
        <f t="shared" si="1"/>
        <v>26250</v>
      </c>
    </row>
    <row r="95" spans="2:4">
      <c r="B95" s="38"/>
      <c r="C95" s="33" t="s">
        <v>85</v>
      </c>
      <c r="D95" s="33"/>
    </row>
    <row r="96" spans="2:4">
      <c r="B96" s="38">
        <v>27.5</v>
      </c>
      <c r="C96" s="33"/>
      <c r="D96" s="33">
        <f t="shared" si="1"/>
        <v>27500</v>
      </c>
    </row>
    <row r="97" spans="2:4">
      <c r="B97" s="38"/>
      <c r="C97" s="33" t="s">
        <v>86</v>
      </c>
      <c r="D97" s="33"/>
    </row>
    <row r="98" spans="2:4">
      <c r="B98" s="38">
        <v>28.75</v>
      </c>
      <c r="C98" s="33"/>
      <c r="D98" s="33">
        <f t="shared" si="1"/>
        <v>28750</v>
      </c>
    </row>
    <row r="99" spans="2:4">
      <c r="B99" s="38"/>
      <c r="C99" s="33" t="s">
        <v>87</v>
      </c>
      <c r="D99" s="33"/>
    </row>
    <row r="100" spans="2:4" ht="15.75" thickBot="1">
      <c r="B100" s="39">
        <v>30</v>
      </c>
      <c r="C100" s="35"/>
      <c r="D100" s="35">
        <f t="shared" si="1"/>
        <v>30000</v>
      </c>
    </row>
    <row r="101" spans="2:4">
      <c r="B101" s="279" t="s">
        <v>219</v>
      </c>
      <c r="C101" s="270"/>
      <c r="D101" s="271"/>
    </row>
    <row r="102" spans="2:4">
      <c r="B102" s="261"/>
      <c r="C102" s="262"/>
      <c r="D102" s="263"/>
    </row>
    <row r="103" spans="2:4">
      <c r="B103" s="261"/>
      <c r="C103" s="262"/>
      <c r="D103" s="263"/>
    </row>
    <row r="104" spans="2:4" ht="15.75" thickBot="1">
      <c r="B104" s="264"/>
      <c r="C104" s="265"/>
      <c r="D104" s="266"/>
    </row>
  </sheetData>
  <mergeCells count="2">
    <mergeCell ref="B2:D2"/>
    <mergeCell ref="B101:D104"/>
  </mergeCells>
  <printOptions horizontalCentered="1" verticalCentered="1"/>
  <pageMargins left="0.7" right="0.7" top="0.75" bottom="0.75" header="0.3" footer="0.3"/>
  <pageSetup scale="95" fitToHeight="2" orientation="portrait" r:id="rId1"/>
  <headerFooter>
    <oddFooter>&amp;CTable 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104"/>
  <sheetViews>
    <sheetView workbookViewId="0">
      <selection activeCell="B2" sqref="B2:D2"/>
    </sheetView>
  </sheetViews>
  <sheetFormatPr defaultRowHeight="15"/>
  <cols>
    <col min="1" max="1" width="4.5703125" customWidth="1"/>
    <col min="2" max="2" width="14.5703125" style="45" customWidth="1"/>
    <col min="4" max="4" width="14.85546875" style="1" customWidth="1"/>
    <col min="5" max="5" width="4.7109375" customWidth="1"/>
  </cols>
  <sheetData>
    <row r="1" spans="2:5" ht="15.75" thickBot="1"/>
    <row r="2" spans="2:5" ht="15.75" thickBot="1">
      <c r="B2" s="280" t="s">
        <v>89</v>
      </c>
      <c r="C2" s="268"/>
      <c r="D2" s="269"/>
    </row>
    <row r="3" spans="2:5" ht="15.75" thickBot="1">
      <c r="B3" s="46" t="s">
        <v>91</v>
      </c>
      <c r="C3" s="36" t="s">
        <v>62</v>
      </c>
      <c r="D3" s="36" t="s">
        <v>100</v>
      </c>
    </row>
    <row r="4" spans="2:5">
      <c r="B4" s="47">
        <f>-30/2</f>
        <v>-15</v>
      </c>
      <c r="C4" s="34"/>
      <c r="D4" s="34">
        <f>B4*1000</f>
        <v>-15000</v>
      </c>
    </row>
    <row r="5" spans="2:5">
      <c r="B5" s="48"/>
      <c r="C5" s="33" t="s">
        <v>64</v>
      </c>
      <c r="D5" s="33"/>
      <c r="E5" s="1"/>
    </row>
    <row r="6" spans="2:5">
      <c r="B6" s="48">
        <f>-28.75/2</f>
        <v>-14.375</v>
      </c>
      <c r="C6" s="33"/>
      <c r="D6" s="33">
        <f t="shared" ref="D6:D68" si="0">B6*1000</f>
        <v>-14375</v>
      </c>
    </row>
    <row r="7" spans="2:5">
      <c r="B7" s="48"/>
      <c r="C7" s="33" t="s">
        <v>65</v>
      </c>
      <c r="D7" s="33"/>
    </row>
    <row r="8" spans="2:5">
      <c r="B8" s="48">
        <f>-27.5/2</f>
        <v>-13.75</v>
      </c>
      <c r="C8" s="33"/>
      <c r="D8" s="33">
        <f t="shared" si="0"/>
        <v>-13750</v>
      </c>
    </row>
    <row r="9" spans="2:5">
      <c r="B9" s="48"/>
      <c r="C9" s="33" t="s">
        <v>66</v>
      </c>
      <c r="D9" s="33"/>
    </row>
    <row r="10" spans="2:5">
      <c r="B10" s="48">
        <f>-26.25/2</f>
        <v>-13.125</v>
      </c>
      <c r="C10" s="33"/>
      <c r="D10" s="33">
        <f t="shared" si="0"/>
        <v>-13125</v>
      </c>
    </row>
    <row r="11" spans="2:5">
      <c r="B11" s="48"/>
      <c r="C11" s="33" t="s">
        <v>67</v>
      </c>
      <c r="D11" s="33"/>
    </row>
    <row r="12" spans="2:5">
      <c r="B12" s="48">
        <f>-25/2</f>
        <v>-12.5</v>
      </c>
      <c r="C12" s="33"/>
      <c r="D12" s="33">
        <f t="shared" si="0"/>
        <v>-12500</v>
      </c>
    </row>
    <row r="13" spans="2:5">
      <c r="B13" s="48"/>
      <c r="C13" s="33" t="s">
        <v>68</v>
      </c>
      <c r="D13" s="33"/>
    </row>
    <row r="14" spans="2:5">
      <c r="B14" s="48">
        <f>-23.75/2</f>
        <v>-11.875</v>
      </c>
      <c r="C14" s="33"/>
      <c r="D14" s="33">
        <f t="shared" si="0"/>
        <v>-11875</v>
      </c>
    </row>
    <row r="15" spans="2:5">
      <c r="B15" s="48"/>
      <c r="C15" s="33" t="s">
        <v>69</v>
      </c>
      <c r="D15" s="33"/>
    </row>
    <row r="16" spans="2:5">
      <c r="B16" s="48">
        <f>-22.5/2</f>
        <v>-11.25</v>
      </c>
      <c r="C16" s="33"/>
      <c r="D16" s="33">
        <f t="shared" si="0"/>
        <v>-11250</v>
      </c>
    </row>
    <row r="17" spans="2:4">
      <c r="B17" s="48"/>
      <c r="C17" s="33" t="s">
        <v>70</v>
      </c>
      <c r="D17" s="33"/>
    </row>
    <row r="18" spans="2:4">
      <c r="B18" s="48">
        <f>-21.25/2</f>
        <v>-10.625</v>
      </c>
      <c r="C18" s="33"/>
      <c r="D18" s="33">
        <f t="shared" si="0"/>
        <v>-10625</v>
      </c>
    </row>
    <row r="19" spans="2:4">
      <c r="B19" s="48"/>
      <c r="C19" s="33" t="s">
        <v>71</v>
      </c>
      <c r="D19" s="33"/>
    </row>
    <row r="20" spans="2:4">
      <c r="B20" s="48">
        <f>-20/2</f>
        <v>-10</v>
      </c>
      <c r="C20" s="33"/>
      <c r="D20" s="33">
        <f t="shared" si="0"/>
        <v>-10000</v>
      </c>
    </row>
    <row r="21" spans="2:4">
      <c r="B21" s="48"/>
      <c r="C21" s="33" t="s">
        <v>72</v>
      </c>
      <c r="D21" s="33"/>
    </row>
    <row r="22" spans="2:4">
      <c r="B22" s="48">
        <f>-18.75/2</f>
        <v>-9.375</v>
      </c>
      <c r="C22" s="33"/>
      <c r="D22" s="33">
        <f t="shared" si="0"/>
        <v>-9375</v>
      </c>
    </row>
    <row r="23" spans="2:4">
      <c r="B23" s="48"/>
      <c r="C23" s="33" t="s">
        <v>73</v>
      </c>
      <c r="D23" s="33"/>
    </row>
    <row r="24" spans="2:4">
      <c r="B24" s="48">
        <f>-17.5/2</f>
        <v>-8.75</v>
      </c>
      <c r="C24" s="33"/>
      <c r="D24" s="33">
        <f t="shared" si="0"/>
        <v>-8750</v>
      </c>
    </row>
    <row r="25" spans="2:4">
      <c r="B25" s="48"/>
      <c r="C25" s="33" t="s">
        <v>74</v>
      </c>
      <c r="D25" s="33"/>
    </row>
    <row r="26" spans="2:4">
      <c r="B26" s="48">
        <f>-16.25/2</f>
        <v>-8.125</v>
      </c>
      <c r="C26" s="33"/>
      <c r="D26" s="33">
        <f t="shared" si="0"/>
        <v>-8125</v>
      </c>
    </row>
    <row r="27" spans="2:4">
      <c r="B27" s="48"/>
      <c r="C27" s="33" t="s">
        <v>75</v>
      </c>
      <c r="D27" s="33"/>
    </row>
    <row r="28" spans="2:4">
      <c r="B28" s="48">
        <f>-15/2</f>
        <v>-7.5</v>
      </c>
      <c r="C28" s="33"/>
      <c r="D28" s="33">
        <f t="shared" si="0"/>
        <v>-7500</v>
      </c>
    </row>
    <row r="29" spans="2:4">
      <c r="B29" s="48"/>
      <c r="C29" s="33" t="s">
        <v>76</v>
      </c>
      <c r="D29" s="33"/>
    </row>
    <row r="30" spans="2:4">
      <c r="B30" s="48">
        <f>-13.75/2</f>
        <v>-6.875</v>
      </c>
      <c r="C30" s="33"/>
      <c r="D30" s="33">
        <f t="shared" si="0"/>
        <v>-6875</v>
      </c>
    </row>
    <row r="31" spans="2:4">
      <c r="B31" s="48"/>
      <c r="C31" s="33" t="s">
        <v>77</v>
      </c>
      <c r="D31" s="33"/>
    </row>
    <row r="32" spans="2:4">
      <c r="B32" s="48">
        <f>-12.5/2</f>
        <v>-6.25</v>
      </c>
      <c r="C32" s="33"/>
      <c r="D32" s="33">
        <f t="shared" si="0"/>
        <v>-6250</v>
      </c>
    </row>
    <row r="33" spans="2:4">
      <c r="B33" s="48"/>
      <c r="C33" s="33" t="s">
        <v>78</v>
      </c>
      <c r="D33" s="33"/>
    </row>
    <row r="34" spans="2:4">
      <c r="B34" s="48">
        <f>-11.25/2</f>
        <v>-5.625</v>
      </c>
      <c r="C34" s="33"/>
      <c r="D34" s="33">
        <f t="shared" si="0"/>
        <v>-5625</v>
      </c>
    </row>
    <row r="35" spans="2:4">
      <c r="B35" s="48"/>
      <c r="C35" s="33" t="s">
        <v>79</v>
      </c>
      <c r="D35" s="33"/>
    </row>
    <row r="36" spans="2:4">
      <c r="B36" s="48">
        <f>-10/2</f>
        <v>-5</v>
      </c>
      <c r="C36" s="33"/>
      <c r="D36" s="33">
        <f t="shared" si="0"/>
        <v>-5000</v>
      </c>
    </row>
    <row r="37" spans="2:4">
      <c r="B37" s="48"/>
      <c r="C37" s="33" t="s">
        <v>80</v>
      </c>
      <c r="D37" s="33"/>
    </row>
    <row r="38" spans="2:4">
      <c r="B38" s="48">
        <f>-8.75/2</f>
        <v>-4.375</v>
      </c>
      <c r="C38" s="33"/>
      <c r="D38" s="33">
        <f t="shared" si="0"/>
        <v>-4375</v>
      </c>
    </row>
    <row r="39" spans="2:4">
      <c r="B39" s="48"/>
      <c r="C39" s="33" t="s">
        <v>81</v>
      </c>
      <c r="D39" s="33"/>
    </row>
    <row r="40" spans="2:4">
      <c r="B40" s="48">
        <f>-7.5/2</f>
        <v>-3.75</v>
      </c>
      <c r="C40" s="33"/>
      <c r="D40" s="33">
        <f t="shared" si="0"/>
        <v>-3750</v>
      </c>
    </row>
    <row r="41" spans="2:4">
      <c r="B41" s="48"/>
      <c r="C41" s="33" t="s">
        <v>82</v>
      </c>
      <c r="D41" s="33"/>
    </row>
    <row r="42" spans="2:4">
      <c r="B42" s="48">
        <f>-6.25/2</f>
        <v>-3.125</v>
      </c>
      <c r="C42" s="33"/>
      <c r="D42" s="33">
        <f t="shared" si="0"/>
        <v>-3125</v>
      </c>
    </row>
    <row r="43" spans="2:4">
      <c r="B43" s="48"/>
      <c r="C43" s="33" t="s">
        <v>83</v>
      </c>
      <c r="D43" s="33"/>
    </row>
    <row r="44" spans="2:4">
      <c r="B44" s="48">
        <f>-5/2</f>
        <v>-2.5</v>
      </c>
      <c r="C44" s="33"/>
      <c r="D44" s="33">
        <f t="shared" si="0"/>
        <v>-2500</v>
      </c>
    </row>
    <row r="45" spans="2:4">
      <c r="B45" s="48"/>
      <c r="C45" s="33" t="s">
        <v>84</v>
      </c>
      <c r="D45" s="33"/>
    </row>
    <row r="46" spans="2:4">
      <c r="B46" s="48">
        <f>-3.75/2</f>
        <v>-1.875</v>
      </c>
      <c r="C46" s="33"/>
      <c r="D46" s="33">
        <f t="shared" si="0"/>
        <v>-1875</v>
      </c>
    </row>
    <row r="47" spans="2:4">
      <c r="B47" s="48"/>
      <c r="C47" s="33" t="s">
        <v>85</v>
      </c>
      <c r="D47" s="33"/>
    </row>
    <row r="48" spans="2:4">
      <c r="B48" s="48">
        <f>-2.5/2</f>
        <v>-1.25</v>
      </c>
      <c r="C48" s="33"/>
      <c r="D48" s="33">
        <f t="shared" si="0"/>
        <v>-1250</v>
      </c>
    </row>
    <row r="49" spans="2:4">
      <c r="B49" s="48"/>
      <c r="C49" s="33" t="s">
        <v>86</v>
      </c>
      <c r="D49" s="33"/>
    </row>
    <row r="50" spans="2:4">
      <c r="B50" s="48">
        <f>-1.25/2</f>
        <v>-0.625</v>
      </c>
      <c r="C50" s="33"/>
      <c r="D50" s="33">
        <f t="shared" si="0"/>
        <v>-625</v>
      </c>
    </row>
    <row r="51" spans="2:4">
      <c r="B51" s="48"/>
      <c r="C51" s="33" t="s">
        <v>87</v>
      </c>
      <c r="D51" s="33"/>
    </row>
    <row r="52" spans="2:4">
      <c r="B52" s="48">
        <v>0</v>
      </c>
      <c r="C52" s="33"/>
      <c r="D52" s="33">
        <f t="shared" si="0"/>
        <v>0</v>
      </c>
    </row>
    <row r="53" spans="2:4">
      <c r="B53" s="48"/>
      <c r="C53" s="33" t="s">
        <v>64</v>
      </c>
      <c r="D53" s="33"/>
    </row>
    <row r="54" spans="2:4">
      <c r="B54" s="48">
        <f>1.25/2</f>
        <v>0.625</v>
      </c>
      <c r="C54" s="33"/>
      <c r="D54" s="33">
        <f t="shared" si="0"/>
        <v>625</v>
      </c>
    </row>
    <row r="55" spans="2:4">
      <c r="B55" s="48"/>
      <c r="C55" s="33" t="s">
        <v>65</v>
      </c>
      <c r="D55" s="33"/>
    </row>
    <row r="56" spans="2:4">
      <c r="B56" s="48">
        <f>2.5/2</f>
        <v>1.25</v>
      </c>
      <c r="C56" s="33"/>
      <c r="D56" s="33">
        <f t="shared" si="0"/>
        <v>1250</v>
      </c>
    </row>
    <row r="57" spans="2:4">
      <c r="B57" s="48"/>
      <c r="C57" s="33" t="s">
        <v>66</v>
      </c>
      <c r="D57" s="33"/>
    </row>
    <row r="58" spans="2:4">
      <c r="B58" s="48">
        <f>3.75/2</f>
        <v>1.875</v>
      </c>
      <c r="C58" s="33"/>
      <c r="D58" s="33">
        <f t="shared" si="0"/>
        <v>1875</v>
      </c>
    </row>
    <row r="59" spans="2:4">
      <c r="B59" s="48"/>
      <c r="C59" s="33" t="s">
        <v>67</v>
      </c>
      <c r="D59" s="33"/>
    </row>
    <row r="60" spans="2:4">
      <c r="B60" s="48">
        <f>5/2</f>
        <v>2.5</v>
      </c>
      <c r="C60" s="33"/>
      <c r="D60" s="33">
        <f t="shared" si="0"/>
        <v>2500</v>
      </c>
    </row>
    <row r="61" spans="2:4">
      <c r="B61" s="48"/>
      <c r="C61" s="33" t="s">
        <v>68</v>
      </c>
      <c r="D61" s="33"/>
    </row>
    <row r="62" spans="2:4">
      <c r="B62" s="48">
        <f>6.25/2</f>
        <v>3.125</v>
      </c>
      <c r="C62" s="33"/>
      <c r="D62" s="33">
        <f t="shared" si="0"/>
        <v>3125</v>
      </c>
    </row>
    <row r="63" spans="2:4">
      <c r="B63" s="48"/>
      <c r="C63" s="33" t="s">
        <v>69</v>
      </c>
      <c r="D63" s="33"/>
    </row>
    <row r="64" spans="2:4">
      <c r="B64" s="48">
        <f>7.5/2</f>
        <v>3.75</v>
      </c>
      <c r="C64" s="33"/>
      <c r="D64" s="33">
        <f t="shared" si="0"/>
        <v>3750</v>
      </c>
    </row>
    <row r="65" spans="2:4">
      <c r="B65" s="48"/>
      <c r="C65" s="33" t="s">
        <v>70</v>
      </c>
      <c r="D65" s="33"/>
    </row>
    <row r="66" spans="2:4">
      <c r="B66" s="48">
        <f>8.75/2</f>
        <v>4.375</v>
      </c>
      <c r="C66" s="33"/>
      <c r="D66" s="33">
        <f t="shared" si="0"/>
        <v>4375</v>
      </c>
    </row>
    <row r="67" spans="2:4">
      <c r="B67" s="48"/>
      <c r="C67" s="33" t="s">
        <v>71</v>
      </c>
      <c r="D67" s="33"/>
    </row>
    <row r="68" spans="2:4">
      <c r="B68" s="48">
        <f>10/2</f>
        <v>5</v>
      </c>
      <c r="C68" s="33"/>
      <c r="D68" s="33">
        <f t="shared" si="0"/>
        <v>5000</v>
      </c>
    </row>
    <row r="69" spans="2:4">
      <c r="B69" s="48"/>
      <c r="C69" s="33" t="s">
        <v>72</v>
      </c>
      <c r="D69" s="33"/>
    </row>
    <row r="70" spans="2:4">
      <c r="B70" s="48">
        <f>11.25/2</f>
        <v>5.625</v>
      </c>
      <c r="C70" s="33"/>
      <c r="D70" s="33">
        <f t="shared" ref="D70:D100" si="1">B70*1000</f>
        <v>5625</v>
      </c>
    </row>
    <row r="71" spans="2:4">
      <c r="B71" s="48"/>
      <c r="C71" s="33" t="s">
        <v>73</v>
      </c>
      <c r="D71" s="33"/>
    </row>
    <row r="72" spans="2:4">
      <c r="B72" s="48">
        <f>12.5/2</f>
        <v>6.25</v>
      </c>
      <c r="C72" s="33"/>
      <c r="D72" s="33">
        <f t="shared" si="1"/>
        <v>6250</v>
      </c>
    </row>
    <row r="73" spans="2:4">
      <c r="B73" s="48"/>
      <c r="C73" s="33" t="s">
        <v>74</v>
      </c>
      <c r="D73" s="33"/>
    </row>
    <row r="74" spans="2:4">
      <c r="B74" s="48">
        <f>13.75/2</f>
        <v>6.875</v>
      </c>
      <c r="C74" s="33"/>
      <c r="D74" s="33">
        <f t="shared" si="1"/>
        <v>6875</v>
      </c>
    </row>
    <row r="75" spans="2:4">
      <c r="B75" s="48"/>
      <c r="C75" s="33" t="s">
        <v>75</v>
      </c>
      <c r="D75" s="33"/>
    </row>
    <row r="76" spans="2:4">
      <c r="B76" s="48">
        <f>15/2</f>
        <v>7.5</v>
      </c>
      <c r="C76" s="33"/>
      <c r="D76" s="33">
        <f t="shared" si="1"/>
        <v>7500</v>
      </c>
    </row>
    <row r="77" spans="2:4">
      <c r="B77" s="48"/>
      <c r="C77" s="33" t="s">
        <v>76</v>
      </c>
      <c r="D77" s="33"/>
    </row>
    <row r="78" spans="2:4">
      <c r="B78" s="48">
        <f>16.25/2</f>
        <v>8.125</v>
      </c>
      <c r="C78" s="33"/>
      <c r="D78" s="33">
        <f t="shared" si="1"/>
        <v>8125</v>
      </c>
    </row>
    <row r="79" spans="2:4">
      <c r="B79" s="48"/>
      <c r="C79" s="33" t="s">
        <v>77</v>
      </c>
      <c r="D79" s="33"/>
    </row>
    <row r="80" spans="2:4">
      <c r="B80" s="48">
        <f>17.5/2</f>
        <v>8.75</v>
      </c>
      <c r="C80" s="33"/>
      <c r="D80" s="33">
        <f t="shared" si="1"/>
        <v>8750</v>
      </c>
    </row>
    <row r="81" spans="2:4">
      <c r="B81" s="48"/>
      <c r="C81" s="33" t="s">
        <v>78</v>
      </c>
      <c r="D81" s="33"/>
    </row>
    <row r="82" spans="2:4">
      <c r="B82" s="48">
        <f>18.75/2</f>
        <v>9.375</v>
      </c>
      <c r="C82" s="33"/>
      <c r="D82" s="33">
        <f t="shared" si="1"/>
        <v>9375</v>
      </c>
    </row>
    <row r="83" spans="2:4">
      <c r="B83" s="48"/>
      <c r="C83" s="33" t="s">
        <v>79</v>
      </c>
      <c r="D83" s="33"/>
    </row>
    <row r="84" spans="2:4">
      <c r="B84" s="48">
        <f>20/2</f>
        <v>10</v>
      </c>
      <c r="C84" s="33"/>
      <c r="D84" s="33">
        <f t="shared" si="1"/>
        <v>10000</v>
      </c>
    </row>
    <row r="85" spans="2:4">
      <c r="B85" s="48"/>
      <c r="C85" s="33" t="s">
        <v>80</v>
      </c>
      <c r="D85" s="33"/>
    </row>
    <row r="86" spans="2:4">
      <c r="B86" s="48">
        <f>21.25/2</f>
        <v>10.625</v>
      </c>
      <c r="C86" s="33"/>
      <c r="D86" s="33">
        <f t="shared" si="1"/>
        <v>10625</v>
      </c>
    </row>
    <row r="87" spans="2:4">
      <c r="B87" s="48"/>
      <c r="C87" s="33" t="s">
        <v>81</v>
      </c>
      <c r="D87" s="33"/>
    </row>
    <row r="88" spans="2:4">
      <c r="B88" s="48">
        <f>22.5/2</f>
        <v>11.25</v>
      </c>
      <c r="C88" s="33"/>
      <c r="D88" s="33">
        <f t="shared" si="1"/>
        <v>11250</v>
      </c>
    </row>
    <row r="89" spans="2:4">
      <c r="B89" s="48"/>
      <c r="C89" s="33" t="s">
        <v>82</v>
      </c>
      <c r="D89" s="33"/>
    </row>
    <row r="90" spans="2:4">
      <c r="B90" s="48">
        <f>23.75/2</f>
        <v>11.875</v>
      </c>
      <c r="C90" s="33"/>
      <c r="D90" s="33">
        <f t="shared" si="1"/>
        <v>11875</v>
      </c>
    </row>
    <row r="91" spans="2:4">
      <c r="B91" s="48"/>
      <c r="C91" s="33" t="s">
        <v>83</v>
      </c>
      <c r="D91" s="33"/>
    </row>
    <row r="92" spans="2:4">
      <c r="B92" s="48">
        <f>25/2</f>
        <v>12.5</v>
      </c>
      <c r="C92" s="33"/>
      <c r="D92" s="33">
        <f t="shared" si="1"/>
        <v>12500</v>
      </c>
    </row>
    <row r="93" spans="2:4">
      <c r="B93" s="48"/>
      <c r="C93" s="33" t="s">
        <v>84</v>
      </c>
      <c r="D93" s="33"/>
    </row>
    <row r="94" spans="2:4">
      <c r="B94" s="48">
        <f>26.25/2</f>
        <v>13.125</v>
      </c>
      <c r="C94" s="33"/>
      <c r="D94" s="33">
        <f t="shared" si="1"/>
        <v>13125</v>
      </c>
    </row>
    <row r="95" spans="2:4">
      <c r="B95" s="48"/>
      <c r="C95" s="33" t="s">
        <v>85</v>
      </c>
      <c r="D95" s="33"/>
    </row>
    <row r="96" spans="2:4">
      <c r="B96" s="48">
        <f>27.5/2</f>
        <v>13.75</v>
      </c>
      <c r="C96" s="33"/>
      <c r="D96" s="33">
        <f t="shared" si="1"/>
        <v>13750</v>
      </c>
    </row>
    <row r="97" spans="2:4">
      <c r="B97" s="48"/>
      <c r="C97" s="33" t="s">
        <v>86</v>
      </c>
      <c r="D97" s="33"/>
    </row>
    <row r="98" spans="2:4">
      <c r="B98" s="48">
        <f>28.75/2</f>
        <v>14.375</v>
      </c>
      <c r="C98" s="33"/>
      <c r="D98" s="33">
        <f t="shared" si="1"/>
        <v>14375</v>
      </c>
    </row>
    <row r="99" spans="2:4">
      <c r="B99" s="48"/>
      <c r="C99" s="33" t="s">
        <v>87</v>
      </c>
      <c r="D99" s="33"/>
    </row>
    <row r="100" spans="2:4" ht="15.75" thickBot="1">
      <c r="B100" s="49">
        <f>30/2</f>
        <v>15</v>
      </c>
      <c r="C100" s="35"/>
      <c r="D100" s="35">
        <f t="shared" si="1"/>
        <v>15000</v>
      </c>
    </row>
    <row r="101" spans="2:4">
      <c r="B101" s="281" t="s">
        <v>220</v>
      </c>
      <c r="C101" s="270"/>
      <c r="D101" s="271"/>
    </row>
    <row r="102" spans="2:4">
      <c r="B102" s="261"/>
      <c r="C102" s="262"/>
      <c r="D102" s="263"/>
    </row>
    <row r="103" spans="2:4">
      <c r="B103" s="261"/>
      <c r="C103" s="262"/>
      <c r="D103" s="263"/>
    </row>
    <row r="104" spans="2:4" ht="15.75" thickBot="1">
      <c r="B104" s="264"/>
      <c r="C104" s="265"/>
      <c r="D104" s="266"/>
    </row>
  </sheetData>
  <mergeCells count="2">
    <mergeCell ref="B2:D2"/>
    <mergeCell ref="B101:D104"/>
  </mergeCells>
  <printOptions horizontalCentered="1" verticalCentered="1"/>
  <pageMargins left="0.7" right="0.7" top="0.5" bottom="0.5" header="0.3" footer="0.3"/>
  <pageSetup fitToHeight="2" orientation="portrait" r:id="rId1"/>
  <headerFooter>
    <oddFooter>&amp;CTable 10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B1:D48"/>
  <sheetViews>
    <sheetView workbookViewId="0">
      <selection activeCell="G20" sqref="G20"/>
    </sheetView>
  </sheetViews>
  <sheetFormatPr defaultRowHeight="15"/>
  <cols>
    <col min="1" max="1" width="4.28515625" customWidth="1"/>
    <col min="2" max="2" width="16.5703125" style="45" customWidth="1"/>
    <col min="4" max="4" width="16" style="1" customWidth="1"/>
    <col min="5" max="5" width="4.5703125" customWidth="1"/>
  </cols>
  <sheetData>
    <row r="1" spans="2:4" ht="15.75" thickBot="1"/>
    <row r="2" spans="2:4" ht="15.75" thickBot="1">
      <c r="B2" s="282" t="s">
        <v>88</v>
      </c>
      <c r="C2" s="256"/>
      <c r="D2" s="257"/>
    </row>
    <row r="3" spans="2:4" ht="15.75" thickBot="1">
      <c r="B3" s="46" t="s">
        <v>91</v>
      </c>
      <c r="C3" s="36" t="s">
        <v>63</v>
      </c>
      <c r="D3" s="36" t="s">
        <v>100</v>
      </c>
    </row>
    <row r="4" spans="2:4">
      <c r="B4" s="47">
        <v>-1.25</v>
      </c>
      <c r="C4" s="34"/>
      <c r="D4" s="34">
        <f>B4*1000</f>
        <v>-1250</v>
      </c>
    </row>
    <row r="5" spans="2:4">
      <c r="B5" s="48"/>
      <c r="C5" s="33">
        <v>0</v>
      </c>
      <c r="D5" s="33"/>
    </row>
    <row r="6" spans="2:4">
      <c r="B6" s="48">
        <v>-1.125</v>
      </c>
      <c r="C6" s="33"/>
      <c r="D6" s="33">
        <f t="shared" ref="D6:D44" si="0">B6*1000</f>
        <v>-1125</v>
      </c>
    </row>
    <row r="7" spans="2:4">
      <c r="B7" s="48"/>
      <c r="C7" s="33">
        <v>1</v>
      </c>
      <c r="D7" s="33"/>
    </row>
    <row r="8" spans="2:4">
      <c r="B8" s="48">
        <v>-1</v>
      </c>
      <c r="C8" s="33"/>
      <c r="D8" s="33">
        <f t="shared" si="0"/>
        <v>-1000</v>
      </c>
    </row>
    <row r="9" spans="2:4">
      <c r="B9" s="48"/>
      <c r="C9" s="33">
        <v>2</v>
      </c>
      <c r="D9" s="33"/>
    </row>
    <row r="10" spans="2:4">
      <c r="B10" s="48">
        <v>-0.875</v>
      </c>
      <c r="C10" s="33"/>
      <c r="D10" s="33">
        <f t="shared" si="0"/>
        <v>-875</v>
      </c>
    </row>
    <row r="11" spans="2:4">
      <c r="B11" s="48"/>
      <c r="C11" s="33">
        <v>3</v>
      </c>
      <c r="D11" s="33"/>
    </row>
    <row r="12" spans="2:4">
      <c r="B12" s="48">
        <v>-0.75</v>
      </c>
      <c r="C12" s="33"/>
      <c r="D12" s="33">
        <f t="shared" si="0"/>
        <v>-750</v>
      </c>
    </row>
    <row r="13" spans="2:4">
      <c r="B13" s="48"/>
      <c r="C13" s="33">
        <v>4</v>
      </c>
      <c r="D13" s="33"/>
    </row>
    <row r="14" spans="2:4">
      <c r="B14" s="48">
        <v>-0.625</v>
      </c>
      <c r="C14" s="33"/>
      <c r="D14" s="33">
        <f t="shared" si="0"/>
        <v>-625</v>
      </c>
    </row>
    <row r="15" spans="2:4">
      <c r="B15" s="48"/>
      <c r="C15" s="33">
        <v>5</v>
      </c>
      <c r="D15" s="33"/>
    </row>
    <row r="16" spans="2:4">
      <c r="B16" s="48">
        <v>-0.5</v>
      </c>
      <c r="C16" s="33"/>
      <c r="D16" s="33">
        <f t="shared" si="0"/>
        <v>-500</v>
      </c>
    </row>
    <row r="17" spans="2:4">
      <c r="B17" s="48"/>
      <c r="C17" s="33">
        <v>6</v>
      </c>
      <c r="D17" s="33"/>
    </row>
    <row r="18" spans="2:4">
      <c r="B18" s="48">
        <v>-0.375</v>
      </c>
      <c r="C18" s="33"/>
      <c r="D18" s="33">
        <f t="shared" si="0"/>
        <v>-375</v>
      </c>
    </row>
    <row r="19" spans="2:4">
      <c r="B19" s="48"/>
      <c r="C19" s="33">
        <v>7</v>
      </c>
      <c r="D19" s="33"/>
    </row>
    <row r="20" spans="2:4">
      <c r="B20" s="48">
        <v>-0.25</v>
      </c>
      <c r="C20" s="33"/>
      <c r="D20" s="33">
        <f t="shared" si="0"/>
        <v>-250</v>
      </c>
    </row>
    <row r="21" spans="2:4">
      <c r="B21" s="48"/>
      <c r="C21" s="33">
        <v>8</v>
      </c>
      <c r="D21" s="33"/>
    </row>
    <row r="22" spans="2:4">
      <c r="B22" s="48">
        <v>-0.125</v>
      </c>
      <c r="C22" s="33"/>
      <c r="D22" s="33">
        <f t="shared" si="0"/>
        <v>-125</v>
      </c>
    </row>
    <row r="23" spans="2:4">
      <c r="B23" s="48"/>
      <c r="C23" s="33">
        <v>9</v>
      </c>
      <c r="D23" s="33"/>
    </row>
    <row r="24" spans="2:4">
      <c r="B24" s="48">
        <v>0</v>
      </c>
      <c r="C24" s="33"/>
      <c r="D24" s="33">
        <f t="shared" si="0"/>
        <v>0</v>
      </c>
    </row>
    <row r="25" spans="2:4">
      <c r="B25" s="48"/>
      <c r="C25" s="33">
        <v>0</v>
      </c>
      <c r="D25" s="33"/>
    </row>
    <row r="26" spans="2:4">
      <c r="B26" s="48">
        <v>0.125</v>
      </c>
      <c r="C26" s="33"/>
      <c r="D26" s="33">
        <f t="shared" si="0"/>
        <v>125</v>
      </c>
    </row>
    <row r="27" spans="2:4">
      <c r="B27" s="48"/>
      <c r="C27" s="33">
        <v>1</v>
      </c>
      <c r="D27" s="33"/>
    </row>
    <row r="28" spans="2:4">
      <c r="B28" s="48">
        <v>0.25</v>
      </c>
      <c r="C28" s="33"/>
      <c r="D28" s="33">
        <f t="shared" si="0"/>
        <v>250</v>
      </c>
    </row>
    <row r="29" spans="2:4">
      <c r="B29" s="48"/>
      <c r="C29" s="33">
        <v>2</v>
      </c>
      <c r="D29" s="33"/>
    </row>
    <row r="30" spans="2:4">
      <c r="B30" s="48">
        <v>0.375</v>
      </c>
      <c r="C30" s="33"/>
      <c r="D30" s="33">
        <f t="shared" si="0"/>
        <v>375</v>
      </c>
    </row>
    <row r="31" spans="2:4">
      <c r="B31" s="48"/>
      <c r="C31" s="33">
        <v>3</v>
      </c>
      <c r="D31" s="33"/>
    </row>
    <row r="32" spans="2:4">
      <c r="B32" s="48">
        <v>0.5</v>
      </c>
      <c r="C32" s="33"/>
      <c r="D32" s="33">
        <f t="shared" si="0"/>
        <v>500</v>
      </c>
    </row>
    <row r="33" spans="2:4">
      <c r="B33" s="48"/>
      <c r="C33" s="33">
        <v>4</v>
      </c>
      <c r="D33" s="33"/>
    </row>
    <row r="34" spans="2:4">
      <c r="B34" s="48">
        <v>0.625</v>
      </c>
      <c r="C34" s="33"/>
      <c r="D34" s="33">
        <f t="shared" si="0"/>
        <v>625</v>
      </c>
    </row>
    <row r="35" spans="2:4">
      <c r="B35" s="48"/>
      <c r="C35" s="33">
        <v>5</v>
      </c>
      <c r="D35" s="33"/>
    </row>
    <row r="36" spans="2:4">
      <c r="B36" s="48">
        <v>0.75</v>
      </c>
      <c r="C36" s="33"/>
      <c r="D36" s="33">
        <f t="shared" si="0"/>
        <v>750</v>
      </c>
    </row>
    <row r="37" spans="2:4">
      <c r="B37" s="48"/>
      <c r="C37" s="33">
        <v>6</v>
      </c>
      <c r="D37" s="33"/>
    </row>
    <row r="38" spans="2:4">
      <c r="B38" s="48">
        <v>0.875</v>
      </c>
      <c r="C38" s="33"/>
      <c r="D38" s="33">
        <f t="shared" si="0"/>
        <v>875</v>
      </c>
    </row>
    <row r="39" spans="2:4">
      <c r="B39" s="48"/>
      <c r="C39" s="33">
        <v>7</v>
      </c>
      <c r="D39" s="33"/>
    </row>
    <row r="40" spans="2:4">
      <c r="B40" s="48">
        <v>1</v>
      </c>
      <c r="C40" s="33"/>
      <c r="D40" s="33">
        <f t="shared" si="0"/>
        <v>1000</v>
      </c>
    </row>
    <row r="41" spans="2:4">
      <c r="B41" s="48"/>
      <c r="C41" s="33">
        <v>8</v>
      </c>
      <c r="D41" s="33"/>
    </row>
    <row r="42" spans="2:4">
      <c r="B42" s="48">
        <v>1.125</v>
      </c>
      <c r="C42" s="33"/>
      <c r="D42" s="33">
        <f t="shared" si="0"/>
        <v>1125</v>
      </c>
    </row>
    <row r="43" spans="2:4">
      <c r="B43" s="48"/>
      <c r="C43" s="33">
        <v>9</v>
      </c>
      <c r="D43" s="33"/>
    </row>
    <row r="44" spans="2:4" ht="15.75" thickBot="1">
      <c r="B44" s="49">
        <v>1.25</v>
      </c>
      <c r="C44" s="35"/>
      <c r="D44" s="35">
        <f t="shared" si="0"/>
        <v>1250</v>
      </c>
    </row>
    <row r="45" spans="2:4">
      <c r="B45" s="281" t="s">
        <v>221</v>
      </c>
      <c r="C45" s="270"/>
      <c r="D45" s="271"/>
    </row>
    <row r="46" spans="2:4">
      <c r="B46" s="272"/>
      <c r="C46" s="273"/>
      <c r="D46" s="274"/>
    </row>
    <row r="47" spans="2:4">
      <c r="B47" s="272"/>
      <c r="C47" s="273"/>
      <c r="D47" s="274"/>
    </row>
    <row r="48" spans="2:4" ht="15.75" thickBot="1">
      <c r="B48" s="275"/>
      <c r="C48" s="276"/>
      <c r="D48" s="277"/>
    </row>
  </sheetData>
  <mergeCells count="2">
    <mergeCell ref="B2:D2"/>
    <mergeCell ref="B45:D48"/>
  </mergeCells>
  <printOptions horizontalCentered="1" verticalCentered="1"/>
  <pageMargins left="0.7" right="0.7" top="0.75" bottom="0.75" header="0.3" footer="0.3"/>
  <pageSetup orientation="portrait" r:id="rId1"/>
  <headerFooter>
    <oddFooter>&amp;CTable 11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B1:E48"/>
  <sheetViews>
    <sheetView workbookViewId="0">
      <selection activeCell="B2" sqref="B2:D2"/>
    </sheetView>
  </sheetViews>
  <sheetFormatPr defaultRowHeight="15"/>
  <cols>
    <col min="1" max="1" width="4.5703125" customWidth="1"/>
    <col min="2" max="2" width="14.28515625" style="50" customWidth="1"/>
    <col min="4" max="4" width="13.42578125" style="1" customWidth="1"/>
    <col min="5" max="5" width="4.85546875" customWidth="1"/>
  </cols>
  <sheetData>
    <row r="1" spans="2:5" ht="15.75" thickBot="1"/>
    <row r="2" spans="2:5" ht="15.75" thickBot="1">
      <c r="B2" s="283" t="s">
        <v>89</v>
      </c>
      <c r="C2" s="268"/>
      <c r="D2" s="269"/>
    </row>
    <row r="3" spans="2:5" ht="15.75" thickBot="1">
      <c r="B3" s="51" t="s">
        <v>91</v>
      </c>
      <c r="C3" s="36" t="s">
        <v>63</v>
      </c>
      <c r="D3" s="36" t="s">
        <v>100</v>
      </c>
    </row>
    <row r="4" spans="2:5">
      <c r="B4" s="52">
        <f>-1.25/2</f>
        <v>-0.625</v>
      </c>
      <c r="C4" s="34"/>
      <c r="D4" s="40">
        <f>B4*1000</f>
        <v>-625</v>
      </c>
    </row>
    <row r="5" spans="2:5">
      <c r="B5" s="53"/>
      <c r="C5" s="33">
        <v>0</v>
      </c>
      <c r="D5" s="41"/>
      <c r="E5" s="1"/>
    </row>
    <row r="6" spans="2:5">
      <c r="B6" s="53">
        <f>-1.125/2</f>
        <v>-0.5625</v>
      </c>
      <c r="C6" s="33"/>
      <c r="D6" s="41">
        <f t="shared" ref="D6:D44" si="0">B6*1000</f>
        <v>-562.5</v>
      </c>
    </row>
    <row r="7" spans="2:5">
      <c r="B7" s="53"/>
      <c r="C7" s="33">
        <v>1</v>
      </c>
      <c r="D7" s="41"/>
    </row>
    <row r="8" spans="2:5">
      <c r="B8" s="53">
        <f>-1/2</f>
        <v>-0.5</v>
      </c>
      <c r="C8" s="33"/>
      <c r="D8" s="41">
        <f t="shared" si="0"/>
        <v>-500</v>
      </c>
    </row>
    <row r="9" spans="2:5">
      <c r="B9" s="53"/>
      <c r="C9" s="33">
        <v>2</v>
      </c>
      <c r="D9" s="41"/>
    </row>
    <row r="10" spans="2:5">
      <c r="B10" s="53">
        <f>-0.875/2</f>
        <v>-0.4375</v>
      </c>
      <c r="C10" s="33"/>
      <c r="D10" s="41">
        <f t="shared" si="0"/>
        <v>-437.5</v>
      </c>
    </row>
    <row r="11" spans="2:5">
      <c r="B11" s="53"/>
      <c r="C11" s="33">
        <v>3</v>
      </c>
      <c r="D11" s="41"/>
    </row>
    <row r="12" spans="2:5">
      <c r="B12" s="53">
        <f>-0.75/2</f>
        <v>-0.375</v>
      </c>
      <c r="C12" s="33"/>
      <c r="D12" s="41">
        <f t="shared" si="0"/>
        <v>-375</v>
      </c>
    </row>
    <row r="13" spans="2:5">
      <c r="B13" s="53"/>
      <c r="C13" s="33">
        <v>4</v>
      </c>
      <c r="D13" s="41"/>
    </row>
    <row r="14" spans="2:5">
      <c r="B14" s="53">
        <f>-0.625/2</f>
        <v>-0.3125</v>
      </c>
      <c r="C14" s="33"/>
      <c r="D14" s="41">
        <f t="shared" si="0"/>
        <v>-312.5</v>
      </c>
    </row>
    <row r="15" spans="2:5">
      <c r="B15" s="53"/>
      <c r="C15" s="33">
        <v>5</v>
      </c>
      <c r="D15" s="41"/>
    </row>
    <row r="16" spans="2:5">
      <c r="B16" s="53">
        <f>-0.5/2</f>
        <v>-0.25</v>
      </c>
      <c r="C16" s="33"/>
      <c r="D16" s="41">
        <f t="shared" si="0"/>
        <v>-250</v>
      </c>
    </row>
    <row r="17" spans="2:4">
      <c r="B17" s="53"/>
      <c r="C17" s="33">
        <v>6</v>
      </c>
      <c r="D17" s="41"/>
    </row>
    <row r="18" spans="2:4">
      <c r="B18" s="53">
        <f>-0.375/2</f>
        <v>-0.1875</v>
      </c>
      <c r="C18" s="33"/>
      <c r="D18" s="41">
        <f t="shared" si="0"/>
        <v>-187.5</v>
      </c>
    </row>
    <row r="19" spans="2:4">
      <c r="B19" s="53"/>
      <c r="C19" s="33">
        <v>7</v>
      </c>
      <c r="D19" s="41"/>
    </row>
    <row r="20" spans="2:4">
      <c r="B20" s="53">
        <f>-0.25/2</f>
        <v>-0.125</v>
      </c>
      <c r="C20" s="33"/>
      <c r="D20" s="41">
        <f t="shared" si="0"/>
        <v>-125</v>
      </c>
    </row>
    <row r="21" spans="2:4">
      <c r="B21" s="53"/>
      <c r="C21" s="33">
        <v>8</v>
      </c>
      <c r="D21" s="41"/>
    </row>
    <row r="22" spans="2:4">
      <c r="B22" s="53">
        <f>-0.125/2</f>
        <v>-6.25E-2</v>
      </c>
      <c r="C22" s="33"/>
      <c r="D22" s="41">
        <f t="shared" si="0"/>
        <v>-62.5</v>
      </c>
    </row>
    <row r="23" spans="2:4">
      <c r="B23" s="53"/>
      <c r="C23" s="33">
        <v>9</v>
      </c>
      <c r="D23" s="41"/>
    </row>
    <row r="24" spans="2:4">
      <c r="B24" s="53">
        <v>0</v>
      </c>
      <c r="C24" s="33"/>
      <c r="D24" s="41">
        <f t="shared" si="0"/>
        <v>0</v>
      </c>
    </row>
    <row r="25" spans="2:4">
      <c r="B25" s="53"/>
      <c r="C25" s="33">
        <v>0</v>
      </c>
      <c r="D25" s="41"/>
    </row>
    <row r="26" spans="2:4">
      <c r="B26" s="53">
        <f>0.125/2</f>
        <v>6.25E-2</v>
      </c>
      <c r="C26" s="33"/>
      <c r="D26" s="41">
        <f t="shared" si="0"/>
        <v>62.5</v>
      </c>
    </row>
    <row r="27" spans="2:4">
      <c r="B27" s="53"/>
      <c r="C27" s="33">
        <v>1</v>
      </c>
      <c r="D27" s="41"/>
    </row>
    <row r="28" spans="2:4">
      <c r="B28" s="53">
        <f>0.25/2</f>
        <v>0.125</v>
      </c>
      <c r="C28" s="33"/>
      <c r="D28" s="41">
        <f t="shared" si="0"/>
        <v>125</v>
      </c>
    </row>
    <row r="29" spans="2:4">
      <c r="B29" s="53"/>
      <c r="C29" s="33">
        <v>2</v>
      </c>
      <c r="D29" s="41"/>
    </row>
    <row r="30" spans="2:4">
      <c r="B30" s="53">
        <f>0.375/2</f>
        <v>0.1875</v>
      </c>
      <c r="C30" s="33"/>
      <c r="D30" s="41">
        <f t="shared" si="0"/>
        <v>187.5</v>
      </c>
    </row>
    <row r="31" spans="2:4">
      <c r="B31" s="53"/>
      <c r="C31" s="33">
        <v>3</v>
      </c>
      <c r="D31" s="41"/>
    </row>
    <row r="32" spans="2:4">
      <c r="B32" s="53">
        <f>0.5/2</f>
        <v>0.25</v>
      </c>
      <c r="C32" s="33"/>
      <c r="D32" s="41">
        <f t="shared" si="0"/>
        <v>250</v>
      </c>
    </row>
    <row r="33" spans="2:4">
      <c r="B33" s="53"/>
      <c r="C33" s="33">
        <v>4</v>
      </c>
      <c r="D33" s="41"/>
    </row>
    <row r="34" spans="2:4">
      <c r="B34" s="53">
        <f>0.625/2</f>
        <v>0.3125</v>
      </c>
      <c r="C34" s="33"/>
      <c r="D34" s="41">
        <f t="shared" si="0"/>
        <v>312.5</v>
      </c>
    </row>
    <row r="35" spans="2:4">
      <c r="B35" s="53"/>
      <c r="C35" s="33">
        <v>5</v>
      </c>
      <c r="D35" s="41"/>
    </row>
    <row r="36" spans="2:4">
      <c r="B36" s="53">
        <f>0.75/2</f>
        <v>0.375</v>
      </c>
      <c r="C36" s="33"/>
      <c r="D36" s="41">
        <f t="shared" si="0"/>
        <v>375</v>
      </c>
    </row>
    <row r="37" spans="2:4">
      <c r="B37" s="53"/>
      <c r="C37" s="33">
        <v>6</v>
      </c>
      <c r="D37" s="41"/>
    </row>
    <row r="38" spans="2:4">
      <c r="B38" s="53">
        <f>0.875/2</f>
        <v>0.4375</v>
      </c>
      <c r="C38" s="33"/>
      <c r="D38" s="41">
        <f t="shared" si="0"/>
        <v>437.5</v>
      </c>
    </row>
    <row r="39" spans="2:4">
      <c r="B39" s="53"/>
      <c r="C39" s="33">
        <v>7</v>
      </c>
      <c r="D39" s="41"/>
    </row>
    <row r="40" spans="2:4">
      <c r="B40" s="53">
        <f>1/2</f>
        <v>0.5</v>
      </c>
      <c r="C40" s="33"/>
      <c r="D40" s="41">
        <f t="shared" si="0"/>
        <v>500</v>
      </c>
    </row>
    <row r="41" spans="2:4">
      <c r="B41" s="53"/>
      <c r="C41" s="33">
        <v>8</v>
      </c>
      <c r="D41" s="41"/>
    </row>
    <row r="42" spans="2:4">
      <c r="B42" s="53">
        <f>1.125/2</f>
        <v>0.5625</v>
      </c>
      <c r="C42" s="33"/>
      <c r="D42" s="41">
        <f t="shared" si="0"/>
        <v>562.5</v>
      </c>
    </row>
    <row r="43" spans="2:4">
      <c r="B43" s="53"/>
      <c r="C43" s="33">
        <v>9</v>
      </c>
      <c r="D43" s="41"/>
    </row>
    <row r="44" spans="2:4" ht="15.75" thickBot="1">
      <c r="B44" s="54">
        <f>1.25/2</f>
        <v>0.625</v>
      </c>
      <c r="C44" s="35"/>
      <c r="D44" s="42">
        <f t="shared" si="0"/>
        <v>625</v>
      </c>
    </row>
    <row r="45" spans="2:4">
      <c r="B45" s="284" t="s">
        <v>222</v>
      </c>
      <c r="C45" s="270"/>
      <c r="D45" s="271"/>
    </row>
    <row r="46" spans="2:4">
      <c r="B46" s="261"/>
      <c r="C46" s="262"/>
      <c r="D46" s="263"/>
    </row>
    <row r="47" spans="2:4">
      <c r="B47" s="261"/>
      <c r="C47" s="262"/>
      <c r="D47" s="263"/>
    </row>
    <row r="48" spans="2:4" ht="15.75" thickBot="1">
      <c r="B48" s="264"/>
      <c r="C48" s="265"/>
      <c r="D48" s="266"/>
    </row>
  </sheetData>
  <mergeCells count="2">
    <mergeCell ref="B2:D2"/>
    <mergeCell ref="B45:D48"/>
  </mergeCells>
  <printOptions horizontalCentered="1" verticalCentered="1"/>
  <pageMargins left="0.7" right="0.7" top="0.5" bottom="0.5" header="0.3" footer="0.3"/>
  <pageSetup orientation="portrait" r:id="rId1"/>
  <headerFooter>
    <oddFooter>&amp;CTable 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AF62"/>
  <sheetViews>
    <sheetView tabSelected="1" workbookViewId="0">
      <selection activeCell="G1" sqref="G1"/>
    </sheetView>
  </sheetViews>
  <sheetFormatPr defaultRowHeight="15"/>
  <cols>
    <col min="1" max="1" width="4.28515625" customWidth="1"/>
    <col min="2" max="2" width="32.7109375" style="1" customWidth="1"/>
    <col min="3" max="3" width="25.28515625" style="1" customWidth="1"/>
    <col min="4" max="4" width="26.42578125" style="1" customWidth="1"/>
    <col min="5" max="5" width="29.7109375" style="1" customWidth="1"/>
    <col min="6" max="6" width="15.28515625" style="1" customWidth="1"/>
    <col min="7" max="7" width="19.140625" style="1" customWidth="1"/>
    <col min="8" max="8" width="20.28515625" style="1" customWidth="1"/>
    <col min="9" max="9" width="15.7109375" style="1" customWidth="1"/>
    <col min="10" max="10" width="24.5703125" style="1" customWidth="1"/>
    <col min="11" max="11" width="24.85546875" style="1" customWidth="1"/>
    <col min="12" max="12" width="17.7109375" style="1" customWidth="1"/>
    <col min="13" max="13" width="22.5703125" style="1" customWidth="1"/>
    <col min="14" max="15" width="14.7109375" style="1" customWidth="1"/>
    <col min="16" max="17" width="20.7109375" style="1" customWidth="1"/>
    <col min="18" max="18" width="12.5703125" style="1" customWidth="1"/>
    <col min="19" max="19" width="18.7109375" style="1" customWidth="1"/>
    <col min="20" max="20" width="21.28515625" style="1" customWidth="1"/>
    <col min="21" max="21" width="16" style="1" customWidth="1"/>
    <col min="22" max="22" width="14.28515625" style="1" customWidth="1"/>
    <col min="23" max="23" width="16.85546875" style="1" customWidth="1"/>
    <col min="24" max="24" width="21.5703125" style="1" customWidth="1"/>
    <col min="25" max="25" width="22.28515625" style="1" customWidth="1"/>
    <col min="26" max="26" width="23" style="1" customWidth="1"/>
    <col min="27" max="27" width="18.140625" style="1" customWidth="1"/>
    <col min="28" max="28" width="19" customWidth="1"/>
    <col min="29" max="29" width="26.85546875" customWidth="1"/>
    <col min="30" max="30" width="16.42578125" customWidth="1"/>
    <col min="31" max="31" width="17.85546875" customWidth="1"/>
    <col min="32" max="32" width="18.42578125" customWidth="1"/>
  </cols>
  <sheetData>
    <row r="1" spans="2:32" ht="15.75" thickBot="1"/>
    <row r="2" spans="2:32">
      <c r="B2" s="23"/>
      <c r="C2" s="26" t="s">
        <v>36</v>
      </c>
      <c r="D2" s="27" t="s">
        <v>37</v>
      </c>
      <c r="E2" s="237" t="str">
        <f>CONCATENATE(B9,B36,B12,B39,B16,B43,B20,B47,B23,B50,B26,B53,B29,B56,B32,B59)</f>
        <v>EM74rb35jq85av30</v>
      </c>
      <c r="L2" s="6"/>
      <c r="M2" s="7"/>
      <c r="N2" s="12"/>
      <c r="O2" s="14"/>
      <c r="P2" s="8"/>
      <c r="Q2" s="7"/>
      <c r="R2" s="12"/>
      <c r="S2" s="12"/>
      <c r="T2" s="6"/>
      <c r="U2" s="7"/>
      <c r="V2" s="12"/>
      <c r="W2" s="14"/>
      <c r="X2" s="8"/>
      <c r="Y2" s="7"/>
      <c r="Z2" s="13"/>
      <c r="AA2" s="15"/>
      <c r="AB2" s="1"/>
      <c r="AC2" s="2"/>
      <c r="AD2" s="1"/>
      <c r="AE2" s="9"/>
    </row>
    <row r="3" spans="2:32" ht="19.5" thickBot="1">
      <c r="B3" s="29" t="s">
        <v>33</v>
      </c>
      <c r="C3" s="30">
        <v>34.065379999999998</v>
      </c>
      <c r="D3" s="25">
        <v>-84.554929999999999</v>
      </c>
      <c r="E3" s="238"/>
      <c r="J3" s="5"/>
      <c r="K3" s="6"/>
      <c r="L3" s="10"/>
      <c r="M3" s="13"/>
      <c r="N3" s="15"/>
      <c r="O3" s="8"/>
      <c r="P3" s="16"/>
      <c r="Q3" s="17"/>
      <c r="R3" s="15"/>
      <c r="S3" s="6"/>
      <c r="T3" s="10"/>
      <c r="U3" s="20"/>
      <c r="V3" s="21"/>
      <c r="W3" s="8"/>
      <c r="X3" s="16"/>
      <c r="Y3" s="18"/>
      <c r="Z3" s="19"/>
      <c r="AB3" s="3"/>
      <c r="AC3" s="1"/>
      <c r="AD3" s="11"/>
    </row>
    <row r="4" spans="2:32" ht="19.5" thickBot="1">
      <c r="B4" s="28" t="s">
        <v>34</v>
      </c>
      <c r="C4" s="31" t="s">
        <v>38</v>
      </c>
      <c r="D4" s="24" t="s">
        <v>35</v>
      </c>
      <c r="E4" s="239"/>
      <c r="L4" s="5"/>
      <c r="M4" s="8"/>
      <c r="N4" s="10"/>
      <c r="O4" s="13"/>
      <c r="P4" s="13"/>
      <c r="Q4" s="8"/>
      <c r="R4" s="16"/>
      <c r="S4" s="17"/>
      <c r="T4" s="13"/>
      <c r="U4" s="8"/>
      <c r="V4" s="10"/>
      <c r="W4" s="20"/>
      <c r="X4" s="20"/>
      <c r="Y4" s="8"/>
      <c r="Z4" s="16"/>
      <c r="AA4" s="18"/>
      <c r="AB4" s="18"/>
      <c r="AC4" s="1"/>
      <c r="AD4" s="3"/>
      <c r="AE4" s="1"/>
      <c r="AF4" s="10"/>
    </row>
    <row r="5" spans="2:32" ht="19.5" thickBot="1">
      <c r="B5" s="243" t="s">
        <v>183</v>
      </c>
      <c r="C5" s="244"/>
      <c r="D5" s="244"/>
      <c r="E5" s="245"/>
      <c r="L5" s="5"/>
      <c r="M5" s="8"/>
      <c r="N5" s="10"/>
      <c r="O5" s="13"/>
      <c r="P5" s="13"/>
      <c r="Q5" s="8"/>
      <c r="R5" s="16"/>
      <c r="S5" s="17"/>
      <c r="T5" s="13"/>
      <c r="U5" s="8"/>
      <c r="V5" s="10"/>
      <c r="W5" s="20"/>
      <c r="X5" s="20"/>
      <c r="Y5" s="8"/>
      <c r="Z5" s="16"/>
      <c r="AA5" s="18"/>
      <c r="AB5" s="18"/>
      <c r="AC5" s="1"/>
      <c r="AD5" s="3"/>
      <c r="AE5" s="1"/>
      <c r="AF5" s="10"/>
    </row>
    <row r="6" spans="2:32" ht="15.75" thickBot="1">
      <c r="D6" s="22"/>
      <c r="E6" s="22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AA6" s="8"/>
    </row>
    <row r="7" spans="2:32" ht="19.5" thickBot="1">
      <c r="B7" s="240" t="s">
        <v>162</v>
      </c>
      <c r="C7" s="241"/>
      <c r="D7" s="242" t="s">
        <v>163</v>
      </c>
      <c r="E7" s="241"/>
      <c r="F7" s="118" t="s">
        <v>164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AA7" s="8"/>
    </row>
    <row r="8" spans="2:32" ht="15.75" thickTop="1">
      <c r="B8" s="100">
        <f>D3</f>
        <v>-84.554929999999999</v>
      </c>
      <c r="C8" s="63" t="s">
        <v>152</v>
      </c>
      <c r="D8" s="62" t="s">
        <v>31</v>
      </c>
      <c r="E8" s="111">
        <f>D3*3600000</f>
        <v>-304397748</v>
      </c>
      <c r="F8" s="73"/>
      <c r="Y8"/>
      <c r="Z8"/>
      <c r="AA8"/>
    </row>
    <row r="9" spans="2:32" ht="18.75">
      <c r="B9" s="92" t="str">
        <f>IF(AND(VALUE($B$8)&gt;=-180,VALUE($B$8)&lt;=-160),"A",IF(AND(VALUE($B$8)&gt;-160,VALUE($B$8)&lt;=-140),"B",IF(AND(VALUE($B$8)&gt;-140,VALUE($B$8)&lt;=-120),"C",IF(AND(VALUE($B$8)&gt;-120,VALUE($B$8)&lt;=-100),"D",IF(AND(VALUE($B$8)&gt;-100,VALUE($B$8)&lt;=-80),"E",IF(AND(VALUE($B$8)&gt;-80,VALUE($B$8)&lt;=-60),"F",IF(AND(VALUE($B$8)&gt;-60,VALUE($B$8)&lt;=-40),"G",IF(AND(VALUE($B$8)&gt;-40,VALUE($B$8)&lt;=-20),"H",IF(AND(VALUE($B$8)&gt;-20,VALUE($B$8)&lt;0),"I",IF(AND(VALUE($B$8)&gt;=0,VALUE($B$8)&lt;20),"J",IF(AND(VALUE($B$8)&gt;=20,VALUE($B$8)&lt;40),"K",IF(AND(VALUE($B$8)&gt;=40,VALUE($B$8)&lt;60),"L",IF(AND(VALUE($B$8)&gt;=60,VALUE($B$8)&lt;80),"M",IF(AND(VALUE($B$8)&gt;=80,VALUE($B$8)&lt;100),"N",IF(AND(VALUE($B$8)&gt;=100,VALUE($B$8)&lt;120),"O",IF(AND(VALUE($B$8)&gt;=120,VALUE($B$8)&lt;140),"P",IF(AND(VALUE($B$8)&gt;=140,VALUE($B$8)&lt;160),"Q",IF(AND(VALUE($B$8)&gt;=160,VALUE($B$8)&lt;=180),"R",))))))))))))))))))</f>
        <v>E</v>
      </c>
      <c r="C9" s="57" t="s">
        <v>192</v>
      </c>
      <c r="D9" s="55" t="s">
        <v>192</v>
      </c>
      <c r="E9" s="103" t="str">
        <f>IF(AND(VALUE(E$8)&gt;=-648000000,VALUE(E$8)&lt;=-576000000),"A",IF(AND(VALUE(E$8)&gt;-576000000,VALUE(E$8)&lt;=-504000000),"B",IF(AND(VALUE(E$8)&gt;-504000000,VALUE(E$8)&lt;=-432000000),"C",IF(AND(VALUE(E$8)&gt;-432000000,VALUE(E$8)&lt;=-360000000),"D",IF(AND(VALUE(E$8)&gt;-360000000,VALUE(E$8)&lt;=-288000000),"E",IF(AND(VALUE(E$8)&gt;-288000000,VALUE(E$8)&lt;=-216000000),"F",IF(AND(VALUE(E$8)&gt;-216000000,VALUE(E$8)&lt;=-144000000),"G",IF(AND(VALUE(E$8)&gt;-144000000,VALUE(E$8)&lt;=-72000000),"H",IF(AND(VALUE(E$8)&gt;-72000000,VALUE(E$8)&lt;0),"I",IF(AND(VALUE(E$8)&gt;=0,VALUE(E$8)&lt;72000000),"J",IF(AND(VALUE(E$8)&gt;=72000000,VALUE(E$8)&lt;144000000),"K",IF(AND(VALUE(E$8)&gt;=144000000,VALUE(E$8)&lt;216000000),"L",IF(AND(VALUE(E$8)&gt;=216000000,VALUE(E$8)&lt;288000000),"M",IF(AND(VALUE(E$8)&gt;=288000000,VALUE(E$8)&lt;360000000),"N",IF(AND(VALUE(E$8)&gt;=360000000,VALUE(E$8)&lt;432000000),"O",IF(AND(VALUE(E$8)&gt;=432000000,VALUE(E$8)&lt;504000000),"P",IF(AND(VALUE(E$8)&gt;=504000000,VALUE(E$8)&lt;576000000),"Q",IF(AND(VALUE(E$8)&gt;=576000000,VALUE(E$8)&lt;=648000000),"R",))))))))))))))))))</f>
        <v>E</v>
      </c>
      <c r="F9" s="71"/>
      <c r="Y9"/>
      <c r="Z9"/>
      <c r="AA9"/>
    </row>
    <row r="10" spans="2:32">
      <c r="B10" s="93" t="str">
        <f>IF(AND(VALUE($B$8)&gt;=-180,VALUE($B$8)&lt;=-160),"-160",IF(AND(VALUE($B$8)&gt;-160,VALUE($B$8)&lt;=-140),"-140",IF(AND(VALUE($B$8)&gt;-140,VALUE($B$8)&lt;=-120),"-120",IF(AND(VALUE($B$8)&gt;-120,VALUE($B$8)&lt;=-100),"-100",IF(AND(VALUE($B$8)&gt;-100,VALUE($B$8)&lt;=-80),"-80",IF(AND(VALUE($B$8)&gt;-80,VALUE($B$8)&lt;=-60),"-60",IF(AND(VALUE($B$8)&gt;-60,VALUE($B$8)&lt;=-40),"-40",IF(AND(VALUE($B$8)&gt;-40,VALUE($B$8)&lt;=-20),"-20",IF(AND(VALUE($B$8)&gt;-20,VALUE($B$8)&lt;0),"0",IF(AND(VALUE($B$8)&gt;=0,VALUE($B$8)&lt;20),"0",IF(AND(VALUE($B$8)&gt;=20,VALUE($B$8)&lt;40),"20",IF(AND(VALUE($B$8)&gt;=40,VALUE($B$8)&lt;60),"40",IF(AND(VALUE($B$8)&gt;=60,VALUE($B$8)&lt;80),"60",IF(AND(VALUE($B$8)&gt;=80,VALUE($B$8)&lt;100),"80",IF(AND(VALUE($B$8)&gt;=100,VALUE($B$8)&lt;120),"100",IF(AND(VALUE($B$8)&gt;=120,VALUE($B$8)&lt;140),"120",IF(AND(VALUE($B$8)&gt;=140,VALUE($B$8)&lt;160),"140",IF(AND(VALUE($B$8)&gt;=160,VALUE($B$8)&lt;=180),"160",))))))))))))))))))</f>
        <v>-80</v>
      </c>
      <c r="C10" s="57" t="s">
        <v>3</v>
      </c>
      <c r="D10" s="55" t="s">
        <v>3</v>
      </c>
      <c r="E10" s="104" t="str">
        <f>IF(AND(VALUE(E$8)&gt;=-648000000,VALUE(E$8)&lt;=-576000000),"-576000000",IF(AND(VALUE(E$8)&gt;-576000000,VALUE(E$8)&lt;=-504000000),"-504000000",IF(AND(VALUE(E$8)&gt;-504000000,VALUE(E$8)&lt;=-432000000),"-432000000",IF(AND(VALUE(E$8)&gt;-432000000,VALUE(E$8)&lt;=-360000000),"-360000000",IF(AND(VALUE(E$8)&gt;-360000000,VALUE(E$8)&lt;=-288000000),"-288000000",IF(AND(VALUE(E$8)&gt;-288000000,VALUE(E$8)&lt;=-216000000),"-216000000",IF(AND(VALUE(E$8)&gt;-216000000,VALUE(E$8)&lt;=-144000000),"-144000000",IF(AND(VALUE(E$8)&gt;-144000000,VALUE(E$8)&lt;=-72000000),"-72000000",IF(AND(VALUE(E$8)&gt;-72000000,VALUE(E$8)&lt;0),"0",IF(AND(VALUE(E$8)&gt;=0,VALUE(E$8)&lt;72000000),"0",IF(AND(VALUE(E$8)&gt;=72000000,VALUE(E$8)&lt;144000000),"72000000",IF(AND(VALUE(E$8)&gt;=144000000,VALUE(E$8)&lt;216000000),"144000000",IF(AND(VALUE(E$8)&gt;=216000000,VALUE(E$8)&lt;288000000),"216000000",IF(AND(VALUE(E$8)&gt;=288000000,VALUE(E$8)&lt;360000000),"288000000",IF(AND(VALUE(E$8)&gt;=360000000,VALUE(E$8)&lt;432000000),"360000000",IF(AND(VALUE(E$8)&gt;=432000000,VALUE(E$8)&lt;504000000),"432000000",IF(AND(VALUE(E$8)&gt;=504000000,VALUE(E$8)&lt;576000000),"504000000",IF(AND(VALUE(E$8)&gt;=576000000,VALUE(E$8)&lt;=648000000),"576000000",))))))))))))))))))</f>
        <v>-288000000</v>
      </c>
      <c r="F10" s="115">
        <f>E$10/3600000</f>
        <v>-80</v>
      </c>
      <c r="Y10"/>
      <c r="Z10"/>
      <c r="AA10"/>
    </row>
    <row r="11" spans="2:32">
      <c r="B11" s="55">
        <f>B8-B10</f>
        <v>-4.5549299999999988</v>
      </c>
      <c r="C11" s="57" t="s">
        <v>0</v>
      </c>
      <c r="D11" s="55" t="s">
        <v>29</v>
      </c>
      <c r="E11" s="105">
        <f>E8-E10</f>
        <v>-16397748</v>
      </c>
      <c r="F11" s="71"/>
      <c r="Y11"/>
      <c r="Z11"/>
      <c r="AA11"/>
    </row>
    <row r="12" spans="2:32" ht="18.75">
      <c r="B12" s="92" t="str">
        <f>IF(AND($B11&gt;=-20,$B11&lt;=-18),"0",IF(AND($B11&gt;-18,$B11&lt;=-16),"1",IF(AND($B11&gt;-16,$B11&lt;=-14),"2",IF(AND($B11&gt;-14,$B11&lt;=-12),"3",IF(AND($B11&gt;-12,$B11&lt;=-10),"4",IF(AND($B11&gt;-10,$B11&lt;=-8),"5",IF(AND($B11&gt;-8,$B11&lt;=-6),"6",IF(AND($B11&gt;-6,$B11&lt;=-4),"7",IF(AND($B11&gt;-4,$B11&lt;=-2),"8",IF(AND($B11&gt;-2,$B11&lt;=0),"9",IF(AND($B11&gt;=0,$B11&lt;2),"0",IF(AND($B11&gt;=2,$B11&lt;4),"1",IF(AND($B11&gt;=4,$B11&lt;6),"2",IF(AND($B11&gt;=6,$B11&lt;8),"3",IF(AND($B11&gt;=8,$B11&lt;10),"4",IF(AND($B11&gt;=10,$B11&lt;12),"5",IF(AND($B11&gt;=12,$B11&lt;14),"6",IF(AND($B11&gt;=14,$B11&lt;16),"7",IF(AND($B11&gt;=16,$B11&lt;18),"8",IF(AND($B11&gt;=18,$B11&lt;=20),"9",))))))))))))))))))))</f>
        <v>7</v>
      </c>
      <c r="C12" s="57" t="s">
        <v>193</v>
      </c>
      <c r="D12" s="55" t="s">
        <v>193</v>
      </c>
      <c r="E12" s="103" t="str">
        <f>IF(AND(E$11&gt;=-72000000,E$11&lt;=-64800000),"0",IF(AND(E$11&gt;-64800000,E$11&lt;=-57600000),"1",IF(AND(E$11&gt;-57600000,E$11&lt;=-50400000),"2",IF(AND(E$11&gt;-50400000,E$11&lt;=-43200000),"3",IF(AND(E$11&gt;-43200000,E$11&lt;=-36000000),"4",IF(AND(E$11&gt;-36000000,E$11&lt;=-28800000),"5",IF(AND(E$11&gt;-28800000,E$11&lt;=-21600000),"6",IF(AND(E$11&gt;-21600000,E$11&lt;=-14400000),"7",IF(AND(E$11&gt;-14400000,E$11&lt;=-7200000),"8",IF(AND(E$11&gt;-7200000,E$11&lt;=0),"9",IF(AND(E$11&gt;=0,E$11&lt;7200000),"0",IF(AND(E$11&gt;=7200000,E$11&lt;14400000),"1",IF(AND(E$11&gt;=14400000,E$11&lt;21600000),"2",IF(AND(E$11&gt;=21600000,E$11&lt;28800000),"3",IF(AND(E$11&gt;=28800000,E$11&lt;36000000),"4",IF(AND(E$11&gt;=36000000,E$11&lt;43200000),"5",IF(AND(E$11&gt;=43200000,E$11&lt;50400000),"6",IF(AND(E$11&gt;=50400000,E$11&lt;57600000),"7",IF(AND(E$11&gt;=57600000,E$11&lt;64800000),"8",IF(AND(E$11&gt;=64800000,E$11&lt;=72000000),"9",))))))))))))))))))))</f>
        <v>7</v>
      </c>
      <c r="F12" s="71"/>
      <c r="Y12"/>
      <c r="Z12"/>
      <c r="AA12"/>
    </row>
    <row r="13" spans="2:32">
      <c r="B13" s="93" t="str">
        <f>IF(AND($B11&gt;=-20,$B11&lt;=-18),"-18",IF(AND($B11&gt;-18,$B11&lt;=-16),"-16",IF(AND($B11&gt;-16,$B11&lt;=-14),"-14",IF(AND($B11&gt;-14,$B11&lt;=-12),"-12",IF(AND($B11&gt;-12,$B11&lt;=-10),"-10",IF(AND($B11&gt;-10,$B11&lt;=-8),"-8",IF(AND($B11&gt;-8,$B11&lt;=-6),"-6",IF(AND($B11&gt;-6,$B11&lt;=-4),"-4",IF(AND($B11&gt;-4,$B11&lt;=-2),"-2",IF(AND($B11&gt;-2,$B11&lt;=0),"0",IF(AND($B11&gt;=0,$B11&lt;2),"0",IF(AND($B11&gt;=2,$B11&lt;4),"2",IF(AND($B11&gt;=4,$B11&lt;6),"4",IF(AND($B11&gt;=6,$B11&lt;8),"6",IF(AND($B11&gt;=8,$B11&lt;10),"8",IF(AND($B11&gt;=10,$B11&lt;12),"10",IF(AND($B11&gt;=12,$B11&lt;14),"12",IF(AND($B11&gt;=14,$B11&lt;16),"14",IF(AND($B11&gt;=16,$B11&lt;18),"16",IF(AND($B11&gt;=18,$B11&lt;=20),"18",))))))))))))))))))))</f>
        <v>-4</v>
      </c>
      <c r="C13" s="57" t="s">
        <v>4</v>
      </c>
      <c r="D13" s="55" t="s">
        <v>4</v>
      </c>
      <c r="E13" s="104" t="str">
        <f>IF(AND(E$11&gt;=-72000000,E$11&lt;=-64800000),"-64800000",IF(AND(E$11&gt;-64800000,E$11&lt;=-57600000),"-57600000",IF(AND(E$11&gt;-57600000,E$11&lt;=-50400000),"-50400000",IF(AND(E$11&gt;-50400000,E$11&lt;=-43200000),"-43200000",IF(AND(E$11&gt;-43200000,E$11&lt;=-36000000),"-36000000",IF(AND(E$11&gt;-36000000,E$11&lt;=-28800000),"-28800000",IF(AND(E$11&gt;-28800000,E$11&lt;=-21600000),"-21600000",IF(AND(E$11&gt;-21600000,E$11&lt;=-14400000),"-14400000",IF(AND(E$11&gt;-14400000,E$11&lt;=-7200000),"-7200000",IF(AND(E$11&gt;-7200000,E$11&lt;=0),"0",IF(AND(E$11&gt;=0,E$11&lt;7200000),"0",IF(AND(E$11&gt;=7200000,E$11&lt;14400000),"7200000",IF(AND(E$11&gt;=14400000,E$11&lt;21600000),"14400000",IF(AND(E$11&gt;=21600000,E$11&lt;28800000),"21600000",IF(AND(E$11&gt;=28800000,E$11&lt;36000000),"28800000",IF(AND(E$11&gt;=36000000,E$11&lt;43200000),"36000000",IF(AND(E$11&gt;=43200000,E$11&lt;50400000),"43200000",IF(AND(E$11&gt;=50400000,E$11&lt;57600000),"50400000",IF(AND(E$11&gt;=57600000,E$11&lt;64800000),"57600000",IF(AND(E$11&gt;=64800000,E$11&lt;=72000000),"64800000",))))))))))))))))))))</f>
        <v>-14400000</v>
      </c>
      <c r="F13" s="115">
        <f>(E$10+E$13)/3600000</f>
        <v>-84</v>
      </c>
      <c r="Y13"/>
      <c r="Z13"/>
      <c r="AA13"/>
    </row>
    <row r="14" spans="2:32">
      <c r="B14" s="55">
        <f>B11-B13</f>
        <v>-0.55492999999999881</v>
      </c>
      <c r="C14" s="57" t="s">
        <v>5</v>
      </c>
      <c r="D14" s="55" t="s">
        <v>29</v>
      </c>
      <c r="E14" s="105">
        <f>E11-E13</f>
        <v>-1997748</v>
      </c>
      <c r="F14" s="71"/>
      <c r="X14"/>
      <c r="Y14"/>
      <c r="Z14"/>
      <c r="AA14"/>
    </row>
    <row r="15" spans="2:32">
      <c r="B15" s="55">
        <f>B14*60</f>
        <v>-33.295799999999929</v>
      </c>
      <c r="C15" s="57" t="s">
        <v>1</v>
      </c>
      <c r="D15" s="55"/>
      <c r="E15" s="105"/>
      <c r="F15" s="71"/>
      <c r="Y15"/>
      <c r="Z15"/>
      <c r="AA15"/>
    </row>
    <row r="16" spans="2:32" ht="18.75">
      <c r="B16" s="92" t="str">
        <f>IF(AND($B$15&gt;=-120,$B$15&lt;=-115),"a",IF(AND($B$15&gt;-115,$B$15&lt;=-110),"b",IF(AND($B$15&gt;-110,$B$15&lt;=-105),"c",IF(AND($B$15&gt;-105,$B$15&lt;=-100),"d",IF(AND($B$15&gt;-100,$B$15&lt;=-95),"e",IF(AND($B$15&gt;-95,$B$15&lt;=-90),"f",IF(AND($B$15&gt;-90,$B$15&lt;=-85),"g",IF(AND($B$15&gt;-85,$B$15&lt;=-80),"h",IF(AND($B$15&gt;-80,$B$15&lt;=-75),"i",IF(AND($B$15&gt;-75,$B$15&lt;=-70),"j",IF(AND($B$15&gt;-70,$B$15&lt;=-65),"k",IF(AND($B$15&gt;-65,$B$15&lt;=-60),"l",IF(AND($B$15&gt;-60,$B$15&lt;=-55),"m",IF(AND($B$15&gt;-55,$B$15&lt;=-50),"n",IF(AND($B$15&gt;-50,$B$15&lt;=-45),"o",IF(AND($B$15&gt;-45,$B$15&lt;=-40),"p",IF(AND($B$15&gt;-40,$B$15&lt;=-35),"q",IF(AND($B$15&gt;-35,$B$15&lt;=-30),"r",IF(AND($B$15&gt;-30,$B$15&lt;=-25),"s",IF(AND($B$15&gt;-25,$B$15&lt;=-20),"t",IF(AND($B$15&gt;-20,$B$15&lt;=-15),"u",IF(AND($B$15&gt;-15,$B$15&lt;=-10),"v",IF(AND($B$15&gt;-10,$B$15&lt;=-5),"w",IF(AND($B$15&gt;-5,$B$15&lt;0),"x",IF(AND($B$15&gt;=0,$B$15&lt;5),"a",IF(AND($B$15&gt;=5,$B$15&lt;10),"b",IF(AND($B$15&gt;=10,$B$15&lt;15),"c",IF(AND($B$15&gt;=15,$B$15&lt;20),"d",IF(AND($B$15&gt;=20,$B$15&lt;25),"e",IF(AND($B$15&gt;=25,$B$15&lt;30),"f",IF(AND($B$15&gt;=30,$B$15&lt;35),"g",IF(AND($B$15&gt;=35,$B$15&lt;40),"h",IF(AND($B$15&gt;=40,$B$15&lt;45),"i",IF(AND($B$15&gt;=45,$B$15&lt;50),"j",IF(AND($B$15&gt;=50,$B$15&lt;55),"k",IF(AND($B$15&gt;=55,$B$15&lt;60),"l",IF(AND($B$15&gt;=60,$B$15&lt;65),"m",IF(AND($B$15&gt;=65,$B$15&lt;70),"n",IF(AND($B$15&gt;=70,$B$15&lt;75),"o",IF(AND($B$15&gt;=75,$B$15&lt;80),"p",IF(AND($B$15&gt;=80,$B$15&lt;85),"q",IF(AND($B$15&gt;=85,$B$15&lt;90),"r",IF(AND($B$15&gt;=90,$B$15&lt;95),"s",IF(AND($B$15&gt;=95,$B$15&lt;100),"t",IF(AND($B$15&gt;=100,$B$15&lt;105),"u",IF(AND($B$15&gt;=105,$B$15&lt;110),"v",IF(AND($B$15&gt;=110,$B$15&lt;115),"w",IF(AND($B$15&gt;115,$B$15&lt;=120),"x",))))))))))))))))))))))))))))))))))))))))))))))))</f>
        <v>r</v>
      </c>
      <c r="C16" s="57" t="s">
        <v>194</v>
      </c>
      <c r="D16" s="55" t="s">
        <v>194</v>
      </c>
      <c r="E16" s="103" t="str">
        <f>IF(AND(E$14&gt;=-7200000,E$14&lt;=-6900000),"a",IF(AND(E$14&gt;-6900000,E$14&lt;=-6600000),"b",IF(AND(E$14&gt;-6600000,E$14&lt;=-6300000),"c",IF(AND(E$14&gt;-6300000,E$14&lt;=-6000000),"d",IF(AND(E$14&gt;-6000000,E$14&lt;=-5700000),"e",IF(AND(E$14&gt;-5700000,E$14&lt;=-5400000),"f",IF(AND(E$14&gt;-5400000,E$14&lt;=-5100000),"g",IF(AND(E$14&gt;-5100000,E$14&lt;=-4800000),"h",IF(AND(E$14&gt;-4800000,E$14&lt;=-4500000),"i",IF(AND(E$14&gt;-4500000,E$14&lt;=-4200000),"j",IF(AND(E$14&gt;-4200000,E$14&lt;=-3900000),"k",IF(AND(E$14&gt;-3900000,E$14&lt;=-3600000),"l",IF(AND(E$14&gt;-3600000,E$14&lt;=-3300000),"m",IF(AND(E$14&gt;-3300000,E$14&lt;=-3000000),"n",IF(AND(E$14&gt;-3000000,E$14&lt;=-2700000),"o",IF(AND(E$14&gt;-2700000,E$14&lt;=-2400000),"p",IF(AND(E$14&gt;-2400000,E$14&lt;=-2100000),"q",IF(AND(E$14&gt;-2100000,E$14&lt;=-1800000),"r",IF(AND(E$14&gt;-1800000,E$14&lt;=-1500000),"s",IF(AND(E$14&gt;-1500000,E$14&lt;=-1200000),"t",IF(AND(E$14&gt;-1200000,E$14&lt;=-900000),"u",IF(AND(E$14&gt;-900000,E$14&lt;=-600000),"v",IF(AND(E$14&gt;-600000,E$14&lt;=-300000),"w",IF(AND(E$14&gt;-300000,E$14&lt;0),"x",IF(AND(E$14&gt;=0,E$14&lt;300000),"a",IF(AND(E$14&gt;=300000,E$14&lt;600000),"b",IF(AND(E$14&gt;=600000,E$14&lt;900000),"c",IF(AND(E$14&gt;=900000,E$14&lt;1200000),"d",IF(AND(E$14&gt;=1200000,E$14&lt;1500000),"e",IF(AND(E$14&gt;=1500000,E$14&lt;1800000),"f",IF(AND(E$14&gt;=1800000,E$14&lt;2100000),"g",IF(AND(E$14&gt;=2100000,E$14&lt;2400000),"h",IF(AND(E$14&gt;=2400000,E$14&lt;2700000),"i",IF(AND(E$14&gt;=2700000,E$14&lt;3000000),"j",IF(AND(E$14&gt;=3000000,E$14&lt;3300000),"k",IF(AND(E$14&gt;=3300000,E$14&lt;3600000),"l",IF(AND(E$14&gt;=3600000,E$14&lt;3900000),"m",IF(AND(E$14&gt;=3900000,E$14&lt;4200000),"n",IF(AND(E$14&gt;=4200000,E$14&lt;4500000),"o",IF(AND(E$14&gt;=4500000,E$14&lt;4800000),"p",IF(AND(E$14&gt;=4800000,E$14&lt;5100000),"q",IF(AND(E$14&gt;=5100000,E$14&lt;5400000),"r",IF(AND(E$14&gt;=5400000,E$14&lt;5700000),"s",IF(AND(E$14&gt;=5700000,E$14&lt;6000000),"t",IF(AND(E$14&gt;=6000000,E$14&lt;6300000),"u",IF(AND(E$14&gt;=6300000,E$14&lt;6600000),"v",IF(AND(E$14&gt;=6600000,E$14&lt;6900000),"w",IF(AND(E$14&gt;6900000,E$14&lt;=7200000),"x",))))))))))))))))))))))))))))))))))))))))))))))))</f>
        <v>r</v>
      </c>
      <c r="F16" s="71"/>
      <c r="Y16"/>
      <c r="Z16"/>
      <c r="AA16"/>
    </row>
    <row r="17" spans="2:27">
      <c r="B17" s="93" t="str">
        <f>IF(AND($B$15&gt;=-120,$B$15&lt;=-115),"-115",IF(AND($B$15&gt;-115,$B$15&lt;=-110),"-110",IF(AND($B$15&gt;-110,$B$15&lt;=-105),"-105",IF(AND($B$15&gt;-105,$B$15&lt;=-100),"-100",IF(AND($B$15&gt;-100,$B$15&lt;=-95),"-95",IF(AND($B$15&gt;-95,$B$15&lt;=-90),"-90",IF(AND($B$15&gt;-90,$B$15&lt;=-85),"-85",IF(AND($B$15&gt;-85,$B$15&lt;=-80),"-80",IF(AND($B$15&gt;-80,$B$15&lt;=-75),"-75",IF(AND($B$15&gt;-75,$B$15&lt;=-70),"-70",IF(AND($B$15&gt;-70,$B$15&lt;=-65),"-65",IF(AND($B$15&gt;-65,$B$15&lt;=-60),"-60",IF(AND($B$15&gt;-60,$B$15&lt;=-55),"-55",IF(AND($B$15&gt;-55,$B$15&lt;=-50),"-50",IF(AND($B$15&gt;-50,$B$15&lt;=-45),"-45",IF(AND($B$15&gt;-45,$B$15&lt;=-40),"-40",IF(AND($B$15&gt;-40,$B$15&lt;=-35),"-35",IF(AND($B$15&gt;-35,$B$15&lt;=-30),"-30",IF(AND($B$15&gt;-30,$B$15&lt;=-25),"-25",IF(AND($B$15&gt;-25,$B$15&lt;=-20),"-20",IF(AND($B$15&gt;-20,$B$15&lt;=-15),"-15",IF(AND($B$15&gt;-15,$B$15&lt;=-10),"-10",IF(AND($B$15&gt;-10,$B$15&lt;=-5),"-5",IF(AND($B$15&gt;-5,$B$15&lt;0),"0",IF(AND($B$15&gt;=0,$B$15&lt;5),"0",IF(AND($B$15&gt;=5,$B$15&lt;10),"5",IF(AND($B$15&gt;=10,$B$15&lt;15),"10",IF(AND($B$15&gt;=15,$B$15&lt;20),"15",IF(AND($B$15&gt;=20,$B$15&lt;25),"20",IF(AND($B$15&gt;=25,$B$15&lt;30),"25",IF(AND($B$15&gt;=30,$B$15&lt;35),"30",IF(AND($B$15&gt;=35,$B$15&lt;40),"35",IF(AND($B$15&gt;=40,$B$15&lt;45),"40",IF(AND($B$15&gt;=45,$B$15&lt;50),"45",IF(AND($B$15&gt;=50,$B$15&lt;55),"50",IF(AND($B$15&gt;=55,$B$15&lt;60),"55",IF(AND($B$15&gt;=60,$B$15&lt;65),"60",IF(AND($B$15&gt;=65,$B$15&lt;70),"65",IF(AND($B$15&gt;=70,$B$15&lt;75),"70",IF(AND($B$15&gt;=75,$B$15&lt;80),"75",IF(AND($B$15&gt;=80,$B$15&lt;85),"80",IF(AND($B$15&gt;=85,$B$15&lt;90),"85",IF(AND($B$15&gt;=90,$B$15&lt;95),"90",IF(AND($B$15&gt;=95,$B$15&lt;100),"95",IF(AND($B$15&gt;=100,$B$15&lt;105),"100",IF(AND($B$15&gt;=105,$B$15&lt;110),"105",IF(AND($B$15&gt;=110,$B$15&lt;115),"110",IF(AND($B$15&gt;115,$B$15&lt;=120),"115",))))))))))))))))))))))))))))))))))))))))))))))))</f>
        <v>-30</v>
      </c>
      <c r="C17" s="57" t="s">
        <v>6</v>
      </c>
      <c r="D17" s="55" t="s">
        <v>6</v>
      </c>
      <c r="E17" s="104" t="str">
        <f>IF(AND(E$14&gt;=-7200000,E$14&lt;=-6900000),"-6900000",IF(AND(E$14&gt;-6900000,E$14&lt;=-6600000),"-6600000",IF(AND(E$14&gt;-6600000,E$14&lt;=-6300000),"-6300000",IF(AND(E$14&gt;-6300000,E$14&lt;=-6000000),"-6000000",IF(AND(E$14&gt;-6000000,E$14&lt;=-5700000),"-5700000",IF(AND(E$14&gt;-5700000,E$14&lt;=-5400000),"-5400000",IF(AND(E$14&gt;-5400000,E$14&lt;=-5100000),"-5100000",IF(AND(E$14&gt;-5100000,E$14&lt;=-4800000),"-4800000",IF(AND(E$14&gt;-4800000,E$14&lt;=-4500000),"-4500000",IF(AND(E$14&gt;-4500000,E$14&lt;=-4200000),"-4200000",IF(AND(E$14&gt;-4200000,E$14&lt;=-3900000),"-3900000",IF(AND(E$14&gt;-3900000,E$14&lt;=-3600000),"-3600000",IF(AND(E$14&gt;-3600000,E$14&lt;=-3300000),"-3300000",IF(AND(E$14&gt;-3300000,E$14&lt;=-3000000),"-3000000",IF(AND(E$14&gt;-3000000,E$14&lt;=-2700000),"-2700000",IF(AND(E$14&gt;-2700000,E$14&lt;=-2400000),"-2400000",IF(AND(E$14&gt;-2400000,E$14&lt;=-2100000),"-2100000",IF(AND(E$14&gt;-2100000,E$14&lt;=-1800000),"-1800000",IF(AND(E$14&gt;-1800000,E$14&lt;=-1500000),"-1500000",IF(AND(E$14&gt;-1500000,E$14&lt;=-1200000),"-1200000",IF(AND(E$14&gt;-1200000,E$14&lt;=-900000),"-900000",IF(AND(E$14&gt;-900000,E$14&lt;=-600000),"-600000",IF(AND(E$14&gt;-600000,E$14&lt;=-300000),"-300000",IF(AND(E$14&gt;-300000,E$14&lt;0),"0",IF(AND(E$14&gt;=0,E$14&lt;300000),"0",IF(AND(E$14&gt;=300000,E$14&lt;600000),"300000",IF(AND(E$14&gt;=600000,E$14&lt;900000),"600000",IF(AND(E$14&gt;=900000,E$14&lt;1200000),"900000",IF(AND(E$14&gt;=1200000,E$14&lt;1500000),"1200000",IF(AND(E$14&gt;=1500000,E$14&lt;1800000),"1500000",IF(AND(E$14&gt;=1800000,E$14&lt;2100000),"1800000",IF(AND(E$14&gt;=2100000,E$14&lt;2400000),"2100000",IF(AND(E$14&gt;=2400000,E$14&lt;2700000),"2400000",IF(AND(E$14&gt;=2700000,E$14&lt;3000000),"2700000",IF(AND(E$14&gt;=3000000,E$14&lt;3300000),"3000000",IF(AND(E$14&gt;=3300000,E$14&lt;3600000),"3300000",IF(AND(E$14&gt;=3600000,E$14&lt;3900000),"3600000",IF(AND(E$14&gt;=3900000,E$14&lt;4200000),"3900000",IF(AND(E$14&gt;=4200000,E$14&lt;4500000),"4200000",IF(AND(E$14&gt;=4500000,E$14&lt;4800000),"4500000",IF(AND(E$14&gt;=4800000,E$14&lt;5100000),"4800000",IF(AND(E$14&gt;=5100000,E$14&lt;5400000),"5100000",IF(AND(E$14&gt;=5400000,E$14&lt;5700000),"5400000",IF(AND(E$14&gt;=5700000,E$14&lt;6000000),"5700000",IF(AND(E$14&gt;=6000000,E$14&lt;6300000),"6000000",IF(AND(E$14&gt;=6300000,E$14&lt;6600000),"6300000",IF(AND(E$14&gt;=6600000,E$14&lt;6900000),"6600000",IF(AND(E$14&gt;6900000,E$14&lt;=7200000),"6900000",))))))))))))))))))))))))))))))))))))))))))))))))</f>
        <v>-1800000</v>
      </c>
      <c r="F17" s="115">
        <f>(E$10+E$13+E$17)/3600000</f>
        <v>-84.5</v>
      </c>
      <c r="Y17"/>
      <c r="Z17"/>
      <c r="AA17"/>
    </row>
    <row r="18" spans="2:27">
      <c r="B18" s="55">
        <f>B15-B17</f>
        <v>-3.2957999999999288</v>
      </c>
      <c r="C18" s="57" t="s">
        <v>5</v>
      </c>
      <c r="D18" s="55"/>
      <c r="E18" s="105"/>
      <c r="F18" s="71"/>
      <c r="Y18"/>
      <c r="Z18"/>
      <c r="AA18"/>
    </row>
    <row r="19" spans="2:27">
      <c r="B19" s="55">
        <f>B18*60</f>
        <v>-197.74799999999573</v>
      </c>
      <c r="C19" s="57" t="s">
        <v>2</v>
      </c>
      <c r="D19" s="55" t="s">
        <v>29</v>
      </c>
      <c r="E19" s="105">
        <f>E14-E17</f>
        <v>-197748</v>
      </c>
      <c r="F19" s="71"/>
      <c r="Y19"/>
      <c r="Z19"/>
      <c r="AA19"/>
    </row>
    <row r="20" spans="2:27" ht="18.75">
      <c r="B20" s="92" t="str">
        <f>IF(AND($B$19&gt;=-300,$B$19&lt;=-270),"0",IF(AND($B$19&gt;-270,$B$19&lt;=-240),"1",IF(AND($B$19&gt;-240,$B$19&lt;=-210),"2",IF(AND($B$19&gt;-210,$B$19&lt;=-180),"3",IF(AND($B$19&gt;-180,$B$19&lt;=-150),"4",IF(AND($B$19&gt;-150,$B$19&lt;=-120),"5",IF(AND($B$19&gt;-120,$B$19&lt;=-90),"6",IF(AND($B$19&gt;-90,$B$19&lt;=-60),"7",IF(AND($B$19&gt;-60,$B$19&lt;=-30),"8",IF(AND($B$19&gt;-30,$B$19&lt;0),"9",IF(AND($B$19&gt;=0,$B$19&lt;30),"0",IF(AND($B$19&gt;=30,$B$19&lt;60),"1",IF(AND($B$19&gt;=60,$B$19&lt;90),"2",IF(AND($B$19&gt;=90,$B$19&lt;120),"3",IF(AND($B$19&gt;=120,$B$19&lt;150),"4",IF(AND($B$19&gt;=150,$B$19&lt;180),"5",IF(AND($B$19&gt;=180,$B$19&lt;210),"6",IF(AND($B$19&gt;=210,$B$19&lt;240),"7",IF(AND($B$19&gt;=240,$B$19&lt;270),"8",IF(AND($B$19&gt;270,$B$19&lt;=300),"9",))))))))))))))))))))</f>
        <v>3</v>
      </c>
      <c r="C20" s="57" t="s">
        <v>195</v>
      </c>
      <c r="D20" s="55" t="s">
        <v>195</v>
      </c>
      <c r="E20" s="103" t="str">
        <f>IF(AND(E$19&gt;=-300000,E$19&lt;=-270000),"0",IF(AND(E$19&gt;-270000,E$19&lt;=-240000),"1",IF(AND(E$19&gt;-240000,E$19&lt;=-210000),"2",IF(AND(E$19&gt;-210000,E$19&lt;=-180000),"3",IF(AND(E$19&gt;-180000,E$19&lt;=-150000),"4",IF(AND(E$19&gt;-150000,E$19&lt;=-120000),"5",IF(AND(E$19&gt;-120000,E$19&lt;=-90000),"6",IF(AND(E$19&gt;-90000,E$19&lt;=-60000),"7",IF(AND(E$19&gt;-60000,E$19&lt;=-30000),"8",IF(AND(E$19&gt;-30000,E$19&lt;0),"9",IF(AND(E$19&gt;=0,E$19&lt;30000),"0",IF(AND(E$19&gt;=30000,E$19&lt;60000),"1",IF(AND(E$19&gt;=60000,E$19&lt;90000),"2",IF(AND(E$19&gt;=90000,E$19&lt;120000),"3",IF(AND(E$19&gt;=120000,E$19&lt;150000),"4",IF(AND(E$19&gt;=150000,E$19&lt;180000),"5",IF(AND(E$19&gt;=180000,E$19&lt;210000),"6",IF(AND(E$19&gt;=210000,E$19&lt;240000),"7",IF(AND(E$19&gt;=240000,E$19&lt;270000),"8",IF(AND(E$19&gt;270000,E$19&lt;=300000),"9",))))))))))))))))))))</f>
        <v>3</v>
      </c>
      <c r="F20" s="71"/>
      <c r="Y20"/>
      <c r="Z20"/>
      <c r="AA20"/>
    </row>
    <row r="21" spans="2:27">
      <c r="B21" s="93" t="str">
        <f>IF(AND($B$19&gt;=-300,$B$19&lt;=-270),"-270",IF(AND($B$19&gt;-270,$B$19&lt;=-240),"-240",IF(AND($B$19&gt;-240,$B$19&lt;=-210),"-210",IF(AND($B$19&gt;-210,$B$19&lt;=-180),"-180",IF(AND($B$19&gt;-180,$B$19&lt;=-150),"-150",IF(AND($B$19&gt;-150,$B$19&lt;=-120),"-120",IF(AND($B$19&gt;-120,$B$19&lt;=-90),"-90",IF(AND($B$19&gt;-90,$B$19&lt;=-60),"-60",IF(AND($B$19&gt;-60,$B$19&lt;=-30),"-30",IF(AND($B$19&gt;-30,$B$19&lt;0),"0",IF(AND($B$19&gt;=0,$B$19&lt;30),"0",IF(AND($B$19&gt;=30,$B$19&lt;60),"30",IF(AND($B$19&gt;=60,$B$19&lt;90),"60",IF(AND($B$19&gt;=90,$B$19&lt;120),"90",IF(AND($B$19&gt;=120,$B$19&lt;150),"120",IF(AND($B$19&gt;=150,$B$19&lt;180),"150",IF(AND($B$19&gt;=180,$B$19&lt;210),"180",IF(AND($B$19&gt;=210,$B$19&lt;240),"210",IF(AND($B$19&gt;=240,$B$19&lt;270),"240",IF(AND($B$19&gt;270,$B$19&lt;=300),"270",))))))))))))))))))))</f>
        <v>-180</v>
      </c>
      <c r="C21" s="57" t="s">
        <v>7</v>
      </c>
      <c r="D21" s="55" t="s">
        <v>7</v>
      </c>
      <c r="E21" s="104" t="str">
        <f>IF(AND(E$19&gt;=-300000,E$19&lt;=-270000),"-270000",IF(AND(E$19&gt;-270000,E$19&lt;=-240000),"-240000",IF(AND(E$19&gt;-240000,E$19&lt;=-210000),"-210000",IF(AND(E$19&gt;-210000,E$19&lt;=-180000),"-180000",IF(AND(E$19&gt;-180000,E$19&lt;=-150000),"-150000",IF(AND(E$19&gt;-150000,E$19&lt;=-120000),"-120000",IF(AND(E$19&gt;-120000,E$19&lt;=-90000),"-90000",IF(AND(E$19&gt;-90000,E$19&lt;=-60000),"-60000",IF(AND(E$19&gt;-60000,E$19&lt;=-30000),"-30000",IF(AND(E$19&gt;-30000,E$19&lt;0),"0",IF(AND(E$19&gt;=0,E$19&lt;30000),"0",IF(AND(E$19&gt;=30000,E$19&lt;60000),"30000",IF(AND(E$19&gt;=60000,E$19&lt;90000),"60000",IF(AND(E$19&gt;=90000,E$19&lt;120000),"90000",IF(AND(E$19&gt;=120000,E$19&lt;150000),"120000",IF(AND(E$19&gt;=150000,E$19&lt;180000),"150000",IF(AND(E$19&gt;=180000,E$19&lt;210000),"180000",IF(AND(E$19&gt;=210000,E$19&lt;240000),"210000",IF(AND(E$19&gt;=240000,E$19&lt;270000),"240000",IF(AND(E$19&gt;270000,E$19&lt;=300000),"270000",))))))))))))))))))))</f>
        <v>-180000</v>
      </c>
      <c r="F21" s="115">
        <f>(E$10+E$13+E$17+E$21)/3600000</f>
        <v>-84.55</v>
      </c>
      <c r="Y21"/>
      <c r="Z21"/>
      <c r="AA21"/>
    </row>
    <row r="22" spans="2:27">
      <c r="B22" s="55">
        <f>B19-B21</f>
        <v>-17.747999999995727</v>
      </c>
      <c r="C22" s="57" t="s">
        <v>2</v>
      </c>
      <c r="D22" s="55" t="s">
        <v>29</v>
      </c>
      <c r="E22" s="105">
        <f>E19-E21</f>
        <v>-17748</v>
      </c>
      <c r="F22" s="71"/>
      <c r="Y22"/>
      <c r="Z22"/>
      <c r="AA22"/>
    </row>
    <row r="23" spans="2:27" ht="18.75">
      <c r="B23" s="92" t="str">
        <f>IF(AND($B$22&gt;=-30,$B$22&lt;=-28.75),"a",IF(AND($B$22&gt;-28.75,$B$22&lt;=-27.5),"b",IF(AND($B$22&gt;-27.5,$B$22&lt;=-26.25),"c",IF(AND($B$22&gt;-26.25,$B$22&lt;=-25),"d",IF(AND($B$22&gt;-25,$B$22&lt;=-23.75),"e",IF(AND($B$22&gt;-23.75,$B$22&lt;=-22.5),"f",IF(AND($B$22&gt;-22.5,$B$22&lt;=-21.25),"g",IF(AND($B$22&gt;-21.25,$B$22&lt;=-20),"h",IF(AND($B$22&gt;-20,$B$22&lt;=-18.75),"i",IF(AND($B$22&gt;-18.75,$B$22&lt;=-17.5),"j",IF(AND($B$22&gt;-17.5,$B$22&lt;=-16.25),"k",IF(AND($B$22&gt;-16.25,$B$22&lt;=-15),"l",IF(AND($B$22&gt;-15,$B$22&lt;=-13.75),"m",IF(AND($B$22&gt;-13.75,$B$22&lt;=-12.5),"n",IF(AND($B$22&gt;-12.5,$B$22&lt;=-11.25),"o",IF(AND($B$22&gt;-11.25,$B$22&lt;=-10),"p",IF(AND($B$22&gt;-10,$B$22&lt;=-8.75),"q",IF(AND($B$22&gt;-8.75,$B$22&lt;=-7.5),"r",IF(AND($B$22&gt;-7.5,$B$22&lt;=-6.25),"s",IF(AND($B$22&gt;-6.25,$B$22&lt;=-5),"t",IF(AND($B$22&gt;-5,$B$22&lt;=-3.75),"u",IF(AND($B$22&gt;-3.75,$B$22&lt;=-2.5),"v",IF(AND($B$22&gt;-2.5,$B$22&lt;=-1.25),"w",IF(AND($B$22&gt;-1.25,$B$22&lt;=0),"x",IF(AND($B$22&gt;0,$B$22&lt;1.25),"a",IF(AND($B$22&gt;=1.25,$B$22&lt;2.5),"b",IF(AND($B$22&gt;=2.5,$B$22&lt;3.75),"c",IF(AND($B$22&gt;=3.75,$B$22&lt;5),"d",IF(AND($B$22&gt;=5,$B$22&lt;6.25),"e",IF(AND($B$22&gt;=6.25,$B$22&lt;7.5),"f",IF(AND($B$22&gt;=7.5,$B$22&lt;8.75),"g",IF(AND($B$22&gt;=8.75,$B$22&lt;10),"h",IF(AND($B$22&gt;=10,$B$22&lt;11.25),"i",IF(AND($B$22&gt;=11.25,$B$22&lt;12.5),"j",IF(AND($B$22&gt;=12.5,$B$22&lt;13.75),"k",IF(AND($B$22&gt;=13.75,$B$22&lt;15),"l",IF(AND($B$22&gt;=15,$B$22&lt;16.25),"m",IF(AND($B$22&gt;=16.25,$B$22&lt;17.5),"n",IF(AND($B$22&gt;=17.5,$B$22&lt;18.75),"o",IF(AND($B$22&gt;=18.75,$B$22&lt;20),"p",IF(AND($B$22&gt;=20,$B$22&lt;21.25),"q",IF(AND($B$22&gt;=21.25,$B$22&lt;22.5),"r",IF(AND($B$22&gt;=22.5,$B$22&lt;23.75),"s",IF(AND($B$22&gt;=23.75,$B$22&lt;25),"t",IF(AND($B$22&gt;=25,$B$22&lt;26.25),"u",IF(AND($B$22&gt;=26.25,$B$22&lt;27.5),"v",IF(AND($B$22&gt;=27.5,$B$22&lt;28.75),"w",IF(AND($B$22&gt;=28.75,$B$22&lt;=30),"x",))))))))))))))))))))))))))))))))))))))))))))))))</f>
        <v>j</v>
      </c>
      <c r="C23" s="57" t="s">
        <v>196</v>
      </c>
      <c r="D23" s="55" t="s">
        <v>196</v>
      </c>
      <c r="E23" s="103" t="str">
        <f>IF(AND(E$22&gt;=-30000,E$22&lt;=-28750),"a",IF(AND(E$22&gt;-28750,E$22&lt;=-27500),"b",IF(AND(E$22&gt;-27500,E$22&lt;=-26250),"c",IF(AND(E$22&gt;-26250,E$22&lt;=-25000),"d",IF(AND(E$22&gt;-25000,E$22&lt;=-23750),"e",IF(AND(E$22&gt;-23750,E$22&lt;=-22500),"f",IF(AND(E$22&gt;-22500,E$22&lt;=-21250),"g",IF(AND(E$22&gt;-21250,E$22&lt;=-20000),"h",IF(AND(E$22&gt;-20000,E$22&lt;=-18750),"i",IF(AND(E$22&gt;-18750,E$22&lt;=-17500),"j",IF(AND(E$22&gt;-17500,E$22&lt;=-16250),"k",IF(AND(E$22&gt;-16250,E$22&lt;=-15000),"l",IF(AND(E$22&gt;-15000,E$22&lt;=-13750),"m",IF(AND(E$22&gt;-13750,E$22&lt;=-12500),"n",IF(AND(E$22&gt;-12500,E$22&lt;=-11250),"o",IF(AND(E$22&gt;-11250,E$22&lt;=-10000),"p",IF(AND(E$22&gt;-10000,E$22&lt;=-8750),"q",IF(AND(E$22&gt;-8750,E$22&lt;=-7500),"r",IF(AND(E$22&gt;-7500,E$22&lt;=-6250),"s",IF(AND(E$22&gt;-6250,E$22&lt;=-5000),"t",IF(AND(E$22&gt;-5000,E$22&lt;=-3750),"u",IF(AND(E$22&gt;-3750,E$22&lt;=-2500),"v",IF(AND(E$22&gt;-2500,E$22&lt;=-1250),"w",IF(AND(E$22&gt;-1250,E$22&lt;=0),"x",IF(AND(E$22&gt;0,E$22&lt;1250),"a",IF(AND(E$22&gt;=1250,E$22&lt;2500),"b",IF(AND(E$22&gt;=2500,E$22&lt;3750),"c",IF(AND(E$22&gt;=3750,E$22&lt;5000),"d",IF(AND(E$22&gt;=5000,E$22&lt;6250),"e",IF(AND(E$22&gt;=6250,E$22&lt;7500),"f",IF(AND(E$22&gt;=7500,E$22&lt;8750),"g",IF(AND(E$22&gt;=8750,E$22&lt;10000),"h",IF(AND(E$22&gt;=10000,E$22&lt;11250),"i",IF(AND(E$22&gt;=11250,E$22&lt;12500),"j",IF(AND(E$22&gt;=12500,E$22&lt;13750),"k",IF(AND(E$22&gt;=13750,E$22&lt;15000),"l",IF(AND(E$22&gt;=15000,E$22&lt;16250),"m",IF(AND(E$22&gt;=16250,E$22&lt;17500),"n",IF(AND(E$22&gt;=17500,E$22&lt;18750),"o",IF(AND(E$22&gt;=18750,E$22&lt;20000),"p",IF(AND(E$22&gt;=20000,E$22&lt;21250),"q",IF(AND(E$22&gt;=21250,E$22&lt;22500),"r",IF(AND(E$22&gt;=22500,E$22&lt;23750),"s",IF(AND(E$22&gt;=23750,E$22&lt;25000),"t",IF(AND(E$22&gt;=25000,E$22&lt;26250),"u",IF(AND(E$22&gt;=26250,E$22&lt;27500),"v",IF(AND(E$22&gt;=27500,E$22&lt;28750),"w",IF(AND(E$22&gt;=28750,E$22&lt;=30000),"x",))))))))))))))))))))))))))))))))))))))))))))))))</f>
        <v>j</v>
      </c>
      <c r="F23" s="71"/>
      <c r="Y23"/>
      <c r="Z23"/>
      <c r="AA23"/>
    </row>
    <row r="24" spans="2:27">
      <c r="B24" s="93" t="str">
        <f>IF(AND($B$22&gt;=-30,$B$22&lt;=-28.75),"-28.75",IF(AND($B$22&gt;-28.75,$B$22&lt;=-27.5),"-27.5",IF(AND($B$22&gt;-27.5,$B$22&lt;=-26.25),"-26.25",IF(AND($B$22&gt;-26.25,$B$22&lt;=-25),"-25",IF(AND($B$22&gt;-25,$B$22&lt;=-23.75),"-23.75",IF(AND($B$22&gt;-23.75,$B$22&lt;=-22.5),"-22.5",IF(AND($B$22&gt;-22.5,$B$22&lt;=-21.25),"-21.25",IF(AND($B$22&gt;-21.25,$B$22&lt;=-20),"-20",IF(AND($B$22&gt;-20,$B$22&lt;=-18.75),"-18.75",IF(AND($B$22&gt;-18.75,$B$22&lt;=-17.5),"-17.5",IF(AND($B$22&gt;-17.5,$B$22&lt;=-16.25),"-16.25",IF(AND($B$22&gt;-16.25,$B$22&lt;=-15),"-15",IF(AND($B$22&gt;-15,$B$22&lt;=-13.75),"-13.75",IF(AND($B$22&gt;-13.75,$B$22&lt;=-12.5),"-12.5",IF(AND($B$22&gt;-12.5,$B$22&lt;=-11.25),"-11.25",IF(AND($B$22&gt;-11.25,$B$22&lt;=-10),"-10",IF(AND($B$22&gt;-10,$B$22&lt;=-8.75),"-8.75",IF(AND($B$22&gt;-8.75,$B$22&lt;=-7.5),"-7.5",IF(AND($B$22&gt;-7.5,$B$22&lt;=-6.25),"-6.25",IF(AND($B$22&gt;-6.25,$B$22&lt;=-5),"-5",IF(AND($B$22&gt;-5,$B$22&lt;=-3.75),"-3.75",IF(AND($B$22&gt;-3.75,$B$22&lt;=-2.5),"-2.5",IF(AND($B$22&gt;-2.5,$B$22&lt;=-1.25),"-1.25",IF(AND($B$22&gt;-1.25,$B$22&lt;=0),"0",IF(AND($B$22&gt;0,$B$22&lt;1.25),"0",IF(AND($B$22&gt;=1.25,$B$22&lt;2.5),"1.25",IF(AND($B$22&gt;=2.5,$B$22&lt;3.75),"2.5",IF(AND($B$22&gt;=3.75,$B$22&lt;5),"3.75",IF(AND($B$22&gt;=5,$B$22&lt;6.25),"5",IF(AND($B$22&gt;=6.25,$B$22&lt;7.5),"6.25",IF(AND($B$22&gt;=7.5,$B$22&lt;8.75),"7.5",IF(AND($B$22&gt;=8.75,$B$22&lt;10),"8.75",IF(AND($B$22&gt;=10,$B$22&lt;11.25),"10",IF(AND($B$22&gt;=11.25,$B$22&lt;12.5),"11.25",IF(AND($B$22&gt;=12.5,$B$22&lt;13.75),"12.5",IF(AND($B$22&gt;=13.75,$B$22&lt;15),"13.75",IF(AND($B$22&gt;=15,$B$22&lt;16.25),"15",IF(AND($B$22&gt;=16.25,$B$22&lt;17.5),"16.25",IF(AND($B$22&gt;=17.5,$B$22&lt;18.75),"17.5",IF(AND($B$22&gt;=18.75,$B$22&lt;20),"18.75",IF(AND($B$22&gt;=20,$B$22&lt;21.25),"20",IF(AND($B$22&gt;=21.25,$B$22&lt;22.5),"21.25",IF(AND($B$22&gt;=22.5,$B$22&lt;23.75),"22.5",IF(AND($B$22&gt;=23.75,$B$22&lt;25),"23.75",IF(AND($B$22&gt;=25,$B$22&lt;26.25),"25",IF(AND($B$22&gt;=26.25,$B$22&lt;27.5),"26.25",IF(AND($B$22&gt;=27.5,$B$22&lt;28.75),"27.5",IF(AND($B$22&gt;=28.75,$B$22&lt;=30),"28.75",))))))))))))))))))))))))))))))))))))))))))))))))</f>
        <v>-17.5</v>
      </c>
      <c r="C24" s="57" t="s">
        <v>8</v>
      </c>
      <c r="D24" s="55" t="s">
        <v>8</v>
      </c>
      <c r="E24" s="104" t="str">
        <f>IF(AND(E$22&gt;=-30000,E$22&lt;=-28750),"-28750",IF(AND(E$22&gt;-28750,E$22&lt;=-27500),"-27500",IF(AND(E$22&gt;-27500,E$22&lt;=-26250),"-26250",IF(AND(E$22&gt;-26250,E$22&lt;=-25000),"-25000",IF(AND(E$22&gt;-25000,E$22&lt;=-23750),"-23750",IF(AND(E$22&gt;-23750,E$22&lt;=-22500),"-22500",IF(AND(E$22&gt;-22500,E$22&lt;=-21250),"-21250",IF(AND(E$22&gt;-21250,E$22&lt;=-20000),"-20000",IF(AND(E$22&gt;-20000,E$22&lt;=-18750),"-18750",IF(AND(E$22&gt;-18750,E$22&lt;=-17500),"-17500",IF(AND(E$22&gt;-17500,E$22&lt;=-16250),"-16250",IF(AND(E$22&gt;-16250,E$22&lt;=-15000),"-15000",IF(AND(E$22&gt;-15000,E$22&lt;=-13750),"-13750",IF(AND(E$22&gt;-13750,E$22&lt;=-12500),"-12500",IF(AND(E$22&gt;-12500,E$22&lt;=-11250),"-11250",IF(AND(E$22&gt;-11250,E$22&lt;=-10000),"-10000",IF(AND(E$22&gt;-10000,E$22&lt;=-8750),"-8750",IF(AND(E$22&gt;-8750,E$22&lt;=-7500),"-7500",IF(AND(E$22&gt;-7500,E$22&lt;=-6250),"-6250",IF(AND(E$22&gt;-6250,E$22&lt;=-5000),"-5000",IF(AND(E$22&gt;-5000,E$22&lt;=-3750),"-3750",IF(AND(E$22&gt;-3750,E$22&lt;=-2500),"-2500",IF(AND(E$22&gt;-2500,E$22&lt;=-1250),"-1250",IF(AND(E$22&gt;-1250,E$22&lt;=0),"0",IF(AND(E$22&gt;0,E$22&lt;1250),"0",IF(AND(E$22&gt;=1250,E$22&lt;2500),"1250",IF(AND(E$22&gt;=2500,E$22&lt;3750),"2500",IF(AND(E$22&gt;=3750,E$22&lt;5000),"3750",IF(AND(E$22&gt;=5000,E$22&lt;6250),"5000",IF(AND(E$22&gt;=6250,E$22&lt;7500),"6250",IF(AND(E$22&gt;=7500,E$22&lt;8750),"7500",IF(AND(E$22&gt;=8750,E$22&lt;10000),"8750",IF(AND(E$22&gt;=10000,E$22&lt;11250),"10000",IF(AND(E$22&gt;=11250,E$22&lt;12500),"11250",IF(AND(E$22&gt;=12500,E$22&lt;13750),"12500",IF(AND(E$22&gt;=13750,E$22&lt;15000),"13750",IF(AND(E$22&gt;=15000,E$22&lt;16250),"15000",IF(AND(E$22&gt;=16250,E$22&lt;17500),"16250",IF(AND(E$22&gt;=17500,E$22&lt;18750),"17500",IF(AND(E$22&gt;=18750,E$22&lt;20000),"18750",IF(AND(E$22&gt;=20000,E$22&lt;21250),"20000",IF(AND(E$22&gt;=21250,E$22&lt;22500),"21250",IF(AND(E$22&gt;=22500,E$22&lt;23750),"22500",IF(AND(E$22&gt;=23750,E$22&lt;25000),"23750",IF(AND(E$22&gt;=25000,E$22&lt;26250),"25000",IF(AND(E$22&gt;=26250,E$22&lt;27500),"26250",IF(AND(E$22&gt;=27500,E$22&lt;28750),"27500",IF(AND(E$22&gt;=28750,E$22&lt;=30000),"28750",))))))))))))))))))))))))))))))))))))))))))))))))</f>
        <v>-17500</v>
      </c>
      <c r="F24" s="115">
        <f>(E$10+E$13+E$17+E$21+E$24)/3600000</f>
        <v>-84.554861111111109</v>
      </c>
      <c r="Y24"/>
      <c r="Z24"/>
      <c r="AA24"/>
    </row>
    <row r="25" spans="2:27">
      <c r="B25" s="55">
        <f>B22-B24</f>
        <v>-0.24799999999572719</v>
      </c>
      <c r="C25" s="57" t="s">
        <v>2</v>
      </c>
      <c r="D25" s="55" t="s">
        <v>29</v>
      </c>
      <c r="E25" s="105">
        <f>E22-E24</f>
        <v>-248</v>
      </c>
      <c r="F25" s="71"/>
      <c r="X25"/>
      <c r="Y25"/>
      <c r="Z25"/>
      <c r="AA25"/>
    </row>
    <row r="26" spans="2:27" ht="18.75">
      <c r="B26" s="92" t="str">
        <f>IF(AND($B$25&gt;=-1.25,$B$25&lt;=-1.125),"0",IF(AND($B$25&gt;-1.125,$B$25&lt;=-1),"1",IF(AND($B$25&gt;-1,$B$25&lt;=-0.875),"2",IF(AND($B$25&gt;-0.875,$B$25&lt;=-0.75),"3",IF(AND($B$25&gt;-0.75,$B$25&lt;=-0.625),"4",IF(AND($B$25&gt;-0.625,$B$25&lt;=-0.5),"5",IF(AND($B$25&gt;-0.5,$B$25&lt;=-0.375),"6",IF(AND($B$25&gt;-0.375,$B$25&lt;=-0.25),"7",IF(AND($B$25&gt;-0.25,$B$25&lt;=-0.125),"8",IF(AND($B$25&gt;-0.125,$B$25&lt;=0),"9",IF(AND($B$25&gt;0,$B$25&lt;0.125),"0",IF(AND($B$25&gt;=0.125,$B$25&lt;0.25),"1",IF(AND($B$25&gt;=0.25,$B$25&lt;0.375),"2",IF(AND($B$25&gt;=0.375,$B$25&lt;0.5),"3",IF(AND($B$25&gt;=0.5,$B$25&lt;0.625),"4",IF(AND($B$25&gt;=0.625,$B$25&lt;0.75),"5",IF(AND($B$25&gt;=0.75,$B$25&lt;0.875),"6",IF(AND($B$25&gt;=0.875,$B$25&lt;1),"7",IF(AND($B$25&gt;=1,$B$25&lt;1.125),"8",IF(AND($B$25&gt;=1.125,$B$25&lt;=1.25),"9",))))))))))))))))))))</f>
        <v>8</v>
      </c>
      <c r="C26" s="57" t="s">
        <v>197</v>
      </c>
      <c r="D26" s="55" t="s">
        <v>197</v>
      </c>
      <c r="E26" s="103" t="str">
        <f>IF(AND(E$25&gt;=-1250,E$25&lt;=-1125),"0",IF(AND(E$25&gt;-1125,E$25&lt;=-1000),"1",IF(AND(E$25&gt;-1000,E$25&lt;=-875),"2",IF(AND(E$25&gt;-875,E$25&lt;=-750),"3",IF(AND(E$25&gt;-750,E$25&lt;=-625),"4",IF(AND(E$25&gt;-625,E$25&lt;=-500),"5",IF(AND(E$25&gt;-500,E$25&lt;=-375),"6",IF(AND(E$25&gt;-375,E$25&lt;=-250),"7",IF(AND($E$25&gt;-250,E$25&lt;=-125),"8",IF(AND(E$25&gt;-125,E$25&lt;=0),"9",IF(AND(E$25&gt;0,E$25&lt;125),"0",IF(AND(E$25&gt;=125,E$25&lt;250),"1",IF(AND(E$25&gt;=250,E$25&lt;375),"2",IF(AND(E$25&gt;=375,E$25&lt;500),"3",IF(AND(E$25&gt;=500,E$25&lt;625),"4",IF(AND(E$25&gt;=625,E$25&lt;750),"5",IF(AND(E$25&gt;=750,E$25&lt;875),"6",IF(AND(E$25&gt;=875,E$25&lt;1000),"7",IF(AND(E$25&gt;=1000,E$25&lt;1125),"8",IF(AND(E$25&gt;=1125,E$25&lt;=1250),"9",))))))))))))))))))))</f>
        <v>8</v>
      </c>
      <c r="F26" s="71"/>
      <c r="X26"/>
      <c r="Y26"/>
      <c r="Z26"/>
      <c r="AA26"/>
    </row>
    <row r="27" spans="2:27">
      <c r="B27" s="93" t="str">
        <f>IF(AND($B$25&gt;=-1.25,$B$25&lt;=-1.125),"-1.125",IF(AND($B$25&gt;-1.125,$B$25&lt;=-1),"-1",IF(AND($B$25&gt;-1,$B$25&lt;=-0.875),"-0.875",IF(AND($B$25&gt;-0.875,$B$25&lt;=-0.75),"-0.75",IF(AND($B$25&gt;-0.75,$B$25&lt;=-0.625),"-0.625",IF(AND($B$25&gt;-0.625,$B$25&lt;=-0.5),"-0.5",IF(AND($B$25&gt;-0.5,$B$25&lt;=-0.375),"-0.375",IF(AND($B$25&gt;-0.375,$B$25&lt;=-0.25),"-0.25",IF(AND($B$25&gt;-0.25,$B$25&lt;=-0.125),"-0.125",IF(AND($B$25&gt;-0.125,$B$25&lt;=0),"0",IF(AND($B$25&gt;0,$B$25&lt;0.125),"0",IF(AND($B$25&gt;=0.125,$B$25&lt;0.25),"0.125",IF(AND($B$25&gt;=0.25,$B$25&lt;0.375),"0.25",IF(AND($B$25&gt;=0.375,$B$25&lt;0.5),"0.375",IF(AND($B$25&gt;=0.5,$B$25&lt;0.625),"0.5",IF(AND($B$25&gt;=0.625,$B$25&lt;0.75),"0.625",IF(AND($B$25&gt;=0.75,$B$25&lt;0.875),"0.75",IF(AND($B$25&gt;=0.875,$B$25&lt;1),"0.875",IF(AND($B$25&gt;=1,$B$25&lt;1.125),"1",IF(AND($B$25&gt;=1.125,$B$25&lt;=1.25),"1.125",))))))))))))))))))))</f>
        <v>-0.125</v>
      </c>
      <c r="C27" s="57" t="s">
        <v>107</v>
      </c>
      <c r="D27" s="55" t="s">
        <v>107</v>
      </c>
      <c r="E27" s="104" t="str">
        <f>IF(AND(E$25&gt;=-1250,E$25&lt;=-1125),"-1125",IF(AND(E$25&gt;-1125,E$25&lt;=-1000),"-1000",IF(AND(E$25&gt;-1000,E$25&lt;=-875),"-875",IF(AND(E$25&gt;-875,E$25&lt;=-750),"-750",IF(AND(E$25&gt;-750,E$25&lt;=-625),"-625",IF(AND(E$25&gt;-625,E$25&lt;=-500),"-500",IF(AND(E$25&gt;-500,E$25&lt;=-375),"-375",IF(AND(E$25&gt;-375,E$25&lt;=-250),"-250",IF(AND($E$25&gt;-250,E$25&lt;=-125),"-125",IF(AND(E$25&gt;-125,E$25&lt;=0),"0",IF(AND(E$25&gt;0,E$25&lt;125),"0",IF(AND(E$25&gt;=125,E$25&lt;250),"125",IF(AND(E$25&gt;=250,E$25&lt;375),"250",IF(AND(E$25&gt;=375,E$25&lt;500),"375",IF(AND(E$25&gt;=500,E$25&lt;625),"500",IF(AND(E$25&gt;=625,E$25&lt;750),"625",IF(AND(E$25&gt;=750,E$25&lt;875),"750",IF(AND(E$25&gt;=875,E$25&lt;1000),"875",IF(AND(E$25&gt;=1000,E$25&lt;1125),"1000",IF(AND(E$25&gt;=1125,E$25&lt;=1250),"1125",))))))))))))))))))))</f>
        <v>-125</v>
      </c>
      <c r="F27" s="115">
        <f>(E$10+E$13+E$17+E$21+E$24+E$27)/3600000</f>
        <v>-84.554895833333333</v>
      </c>
      <c r="X27"/>
      <c r="Y27"/>
      <c r="Z27"/>
      <c r="AA27"/>
    </row>
    <row r="28" spans="2:27">
      <c r="B28" s="94">
        <f>B25-B27</f>
        <v>-0.12299999999572719</v>
      </c>
      <c r="C28" s="57" t="s">
        <v>2</v>
      </c>
      <c r="D28" s="55" t="s">
        <v>29</v>
      </c>
      <c r="E28" s="106">
        <f>E25-E27</f>
        <v>-123</v>
      </c>
      <c r="F28" s="116"/>
      <c r="X28"/>
      <c r="Y28"/>
      <c r="Z28"/>
      <c r="AA28"/>
    </row>
    <row r="29" spans="2:27" ht="18.75">
      <c r="B29" s="92" t="str">
        <f>IF(AND(B$28&gt;=-0.125,B$28&lt;=-0.11979),"a",IF(AND(B$28&gt;-0.11979,B$28&lt;=-0.11458),"b",IF(AND(B$28&gt;-0.11458,B$28&lt;=-0.10938),"c",IF(AND(B$28&gt;-0.10938,B$28&lt;=-0.10417),"d",IF(AND(B$28&gt;-0.10417,B$28&lt;=-0.09896),"e",IF(AND(B$28&gt;-0.09896,B$28&lt;=-0.09375),"f",IF(AND(B$28&gt;-0.09375,B$28&lt;=-0.08854),"g",IF(AND(B$28&gt;-0.08854,B$28&lt;=-0.08333),"h",IF(AND(B$28&gt;-0.08333,B$28&lt;=-0.07813),"i",IF(AND(B$28&gt;-0.07813,B$28&lt;=-0.07292),"j",IF(AND(B$28&gt;-0.07292,B$28&lt;=-0.06771),"k",IF(AND(B$28&gt;-0.06771,B$28&lt;=-0.06251),"l",IF(AND(B$28&gt;-0.06251,B$28&lt;=-0.05729),"m",IF(AND(B$28&gt;-0.05729,B$28&lt;=-0.05208),"n",IF(AND(B$28&gt;-0.05208,B$28&lt;=-0.04688),"o",IF(AND(B$28&gt;-0.04688,B$28&lt;=-0.04166),"p",IF(AND(B$28&gt;-0.04166,B$28&lt;=-0.03646),"q",IF(AND(B$28&gt;-0.03646,B$28&lt;=-0.03125),"r",IF(AND(B$28&gt;-0.03125,B$28&lt;=-0.02604),"s",IF(AND(B$28&gt;-0.02604,B$28&lt;=-0.02083),"t",IF(AND(B$28&gt;-0.02083,B$28&lt;=-0.01563),"u",IF(AND(B$28&gt;-0.01563,B$28&lt;=-0.01042),"v",IF(AND(B$28&gt;-0.01042,B$28&lt;=-0.00521),"w",IF(AND(B$28&gt;-0.00521,B$28&lt;=0),"x",IF(AND(B$28&gt;0,B$28&lt;0.00521),"a",IF(AND(B$28&gt;=0.00521,B$28&lt;0.01042),"b",IF(AND(B$28&gt;=0.01042,B$28&lt;0.01563),"c",IF(AND(B$28&gt;=0.01563,B$28&lt;0.02083),"d",IF(AND(B$28&gt;=0.02083,B$28&lt;0.02604),"e",IF(AND(B$28&gt;=0.02604,B$28&lt;0.03125),"f",IF(AND(B$28&gt;=0.03125,B$28&lt;0.03646),"g",IF(AND(B$28&gt;=0.03646,B$28&lt;0.04166),"h",IF(AND(B$28&gt;=0.04166,B$28&lt;0.04688),"i",IF(AND(B$28&gt;=0.04688,B$28&lt;0.05208),"j",IF(AND(B$28&gt;=0.05208,B$28&lt;0.05729),"k",IF(AND(B$28&gt;=0.05729,B$28&lt;0.0625),"l",IF(AND(B$28&gt;=0.0625,B$28&lt;0.06771),"m",IF(AND(B$28&gt;=0.06771,B$28&lt;0.07292),"n",IF(AND(B$28&gt;=0.07292,B$28&lt;0.07813),"o",IF(AND(B$28&gt;=0.07813,B$28&lt;0.08333),"p",IF(AND(B$28&gt;=0.08333,B$28&lt;0.08854),"q",IF(AND(B$28&gt;=0.08854,B$28&lt;0.09375),"r",IF(AND(B$28&gt;=0.09375,B$28&lt;0.09896),"s",IF(AND(B$28&gt;=0.09896,B$28&lt;0.10417),"t",IF(AND(B$28&gt;=0.10417,B$28&lt;0.10938),"u",IF(AND(B$28&gt;=0.10938,B$28&lt;0.11458),"v",IF(AND(B$28&gt;=0.11458,B$28&lt;0.11979),"w",IF(AND(B$28&gt;=0.11979,B$28&lt;=0.125),"x",))))))))))))))))))))))))))))))))))))))))))))))))</f>
        <v>a</v>
      </c>
      <c r="C29" s="57" t="s">
        <v>198</v>
      </c>
      <c r="D29" s="55" t="s">
        <v>198</v>
      </c>
      <c r="E29" s="103" t="str">
        <f>IF(AND(E$28&gt;=-125,E$28&lt;=-119.79),"a",IF(AND(E$28&gt;-119.79,E$28&lt;=-114.58),"b",IF(AND(E$28&gt;-114.58,E$28&lt;=-109.38),"c",IF(AND(E$28&gt;-109.38,E$28&lt;=-104.17),"d",IF(AND(E$28&gt;-104.17,E$28&lt;=-98.96),"e",IF(AND(E$28&gt;-98.96,E$28&lt;=-93.75),"f",IF(AND(E$28&gt;-93.75,E$28&lt;=-88.54),"g",IF(AND(E$28&gt;-88.54,E$28&lt;=-83.33),"h",IF(AND(E$28&gt;-83.33,E$28&lt;=-78.13),"i",IF(AND(E$28&gt;-78.13,E$28&lt;=-72.92),"j",IF(AND(E$28&gt;-72.92,E$28&lt;=-67.71),"k",IF(AND(E$28&gt;-67.71,E$28&lt;=-62.51),"l",IF(AND(E$28&gt;-62.51,E$28&lt;=-57.29),"m",IF(AND(E$28&gt;-57.29,E$28&lt;=-52.08),"n",IF(AND(E$28&gt;-52.08,E$28&lt;=-46.88),"o",IF(AND(E$28&gt;-46.88,E$28&lt;=-41.66),"p",IF(AND(E$28&gt;-41.66,E$28&lt;=-36.46),"q",IF(AND(E$28&gt;-36.46,E$28&lt;=-31.25),"r",IF(AND(E$28&gt;-31.25,E$28&lt;=-26.04),"s",IF(AND(E$28&gt;-26.04,E$28&lt;=-20.83),"t",IF(AND(E$28&gt;-20.83,E$28&lt;=-15.63),"u",IF(AND(E$28&gt;-15.63,E$28&lt;=-10.42),"v",IF(AND(E$28&gt;-10.42,E$28&lt;=-5.21),"w",IF(AND(E$28&gt;-5.21,E$28&lt;=0),"x",IF(AND(E$28&gt;0,E$28&lt;5.21),"a",IF(AND(E$28&gt;=5.21,E$28&lt;10.42),"b",IF(AND(E$28&gt;=10.42,E$28&lt;15.63),"c",IF(AND(E$28&gt;=15.63,E$28&lt;20.83),"d",IF(AND(E$28&gt;=20.83,E$28&lt;26.04),"e",IF(AND(E$28&gt;=26.04,E$28&lt;31.25),"f",IF(AND(E$28&gt;=31.25,E$28&lt;36.46),"g",IF(AND(E$28&gt;=36.46,E$28&lt;41.66),"h",IF(AND(E$28&gt;=41.66,E$28&lt;46.88),"i",IF(AND(E$28&gt;=46.88,E$28&lt;52.08),"j",IF(AND(E$28&gt;=52.08,E$28&lt;57.29),"k",IF(AND(E$28&gt;=57.29,E$28&lt;62.51),"l",IF(AND(E$28&gt;=62.51,E$28&lt;67.71),"m",IF(AND(E$28&gt;=67.71,E$28&lt;72.92),"n",IF(AND(E$28&gt;=72.92,E$28&lt;78.13),"o",IF(AND(E$28&gt;=78.13,E$28&lt;83.33),"p",IF(AND(E$28&gt;=83.33,E$28&lt;88.54),"q",IF(AND(E$28&gt;=88.54,E$28&lt;93.75),"r",IF(AND(E$28&gt;=93.75,E$28&lt;98.96),"s",IF(AND(E$28&gt;=98.96,E$28&lt;104.17),"t",IF(AND(E$28&gt;=104.17,E$28&lt;109.38),"u",IF(AND(E$28&gt;=109.38,E$28&lt;114.58),"v",IF(AND(E$28&gt;=114.58,E$28&lt;119.79),"w",IF(AND(E$28&gt;=119.79,E$28&lt;=125),"x",))))))))))))))))))))))))))))))))))))))))))))))))</f>
        <v>a</v>
      </c>
      <c r="F29" s="116"/>
      <c r="X29"/>
      <c r="Y29"/>
      <c r="Z29"/>
      <c r="AA29"/>
    </row>
    <row r="30" spans="2:27">
      <c r="B30" s="93" t="str">
        <f>IF(AND(B$28&gt;=-0.125,B$28&lt;=-0.11979),"-0.11979",IF(AND(B$28&gt;-0.11979,B$28&lt;=-0.11458),"-0.11458",IF(AND(B$28&gt;-0.11458,B$28&lt;=-0.10938),"-0.10938",IF(AND(B$28&gt;-0.10938,B$28&lt;=-0.10417),"-0.10417",IF(AND(B$28&gt;-0.10417,B$28&lt;=-0.09896),"-0.09896",IF(AND(B$28&gt;-0.09896,B$28&lt;=-0.09375),"-0.09375",IF(AND(B$28&gt;-0.09375,B$28&lt;=-0.08854),"-0.08854",IF(AND(B$28&gt;-0.08854,B$28&lt;=-0.08333),"-0.08333",IF(AND(B$28&gt;-0.08333,B$28&lt;=-0.07813),"-0.07813",IF(AND(B$28&gt;-0.07813,B$28&lt;=-0.07292),"-0.07292",IF(AND(B$28&gt;-0.07292,B$28&lt;=-0.06771),"-0.06771",IF(AND(B$28&gt;-0.06771,B$28&lt;=-0.06251),"-0.06251",IF(AND(B$28&gt;-0.06251,B$28&lt;=-0.05729),"-0.05729",IF(AND(B$28&gt;-0.05729,B$28&lt;=-0.05208),"-0.05208",IF(AND(B$28&gt;-0.05208,B$28&lt;=-0.04688),"-0.04688",IF(AND(B$28&gt;-0.04688,B$28&lt;=-0.04166),"-0.04166",IF(AND(B$28&gt;-0.04166,B$28&lt;=-0.03646),"-0.03646",IF(AND(B$28&gt;-0.03646,B$28&lt;=-0.03125),"-0.03125",IF(AND(B$28&gt;-0.03125,B$28&lt;=-0.02604),"-0.02604",IF(AND(B$28&gt;-0.02604,B$28&lt;=-0.02083),"-0.02083",IF(AND(B$28&gt;-0.02083,B$28&lt;=-0.01563),"-0.01563",IF(AND(B$28&gt;-0.01563,B$28&lt;=-0.01042),"-0.01042",IF(AND(B$28&gt;-0.01042,B$28&lt;=-0.00521),"-0.00521",IF(AND(B$28&gt;-0.00521,B$28&lt;=0),"0",IF(AND(B$28&gt;0,B$28&lt;0.00521),"0",IF(AND(B$28&gt;=0.00521,B$28&lt;0.01042),"0.00521",IF(AND(B$28&gt;=0.01042,B$28&lt;0.01563),"0.01042",IF(AND(B$28&gt;=0.01563,B$28&lt;0.02083),"0.01563",IF(AND(B$28&gt;=0.02083,B$28&lt;0.02604),"0.02083",IF(AND(B$28&gt;=0.02604,B$28&lt;0.03125),"0.02604",IF(AND(B$28&gt;=0.03125,B$28&lt;0.03646),"0.03125",IF(AND(B$28&gt;=0.03646,B$28&lt;0.04166),"0.03646",IF(AND(B$28&gt;=0.04166,B$28&lt;0.04688),"0.04166",IF(AND(B$28&gt;=0.04688,B$28&lt;0.05208),"0.04688",IF(AND(B$28&gt;=0.05208,B$28&lt;0.05729),"0.05208",IF(AND(B$28&gt;=0.05729,B$28&lt;0.0625),"0.005729",IF(AND(B$28&gt;=0.0625,B$28&lt;0.06771),"0.0625",IF(AND(B$28&gt;=0.06771,B$28&lt;0.07292),"0.06771",IF(AND(B$28&gt;=0.07292,B$28&lt;0.07813),"0.07292",IF(AND(B$28&gt;=0.07813,B$28&lt;0.08333),"0.07813",IF(AND(B$28&gt;=0.08333,B$28&lt;0.08854),"0.08333",IF(AND(B$28&gt;=0.08854,B$28&lt;0.09375),"0.08854",IF(AND(B$28&gt;=0.09375,B$28&lt;0.09896),"0.09375",IF(AND(B$28&gt;=0.09896,B$28&lt;0.10417),"0.09896",IF(AND(B$28&gt;=0.10417,B$28&lt;0.10938),"0.10417",IF(AND(B$28&gt;=0.10938,B$28&lt;0.11458),"0.10938",IF(AND(B$28&gt;=0.11458,B$28&lt;0.11979),"0.11458",IF(AND(B$28&gt;=0.11979,B$28&lt;=0.125),"0.11979",))))))))))))))))))))))))))))))))))))))))))))))))</f>
        <v>-0.11979</v>
      </c>
      <c r="C30" s="57" t="s">
        <v>108</v>
      </c>
      <c r="D30" s="55" t="s">
        <v>108</v>
      </c>
      <c r="E30" s="104" t="str">
        <f>IF(AND(E$28&gt;=-125,E$28&lt;=-119.79),"-125",IF(AND(E$28&gt;-119.79,E$28&lt;=-114.58),"-114.58",IF(AND(E$28&gt;-114.58,E$28&lt;=-109.38),"-109.38",IF(AND(E$28&gt;-109.38,E$28&lt;=-104.17),"-104.17",IF(AND(E$28&gt;-104.17,E$28&lt;=-98.96),"-98.96",IF(AND(E$28&gt;-98.96,E$28&lt;=-93.75),"-93.75",IF(AND(E$28&gt;-93.75,E$28&lt;=-88.54),"-88.54",IF(AND(E$28&gt;-88.54,E$28&lt;=-83.33),"-83.33",IF(AND(E$28&gt;-83.33,E$28&lt;=-78.13),"-78.13",IF(AND(E$28&gt;-78.13,E$28&lt;=-72.92),"-72.92",IF(AND(E$28&gt;-72.92,E$28&lt;=-67.71),"-67.71",IF(AND(E$28&gt;-67.71,E$28&lt;=-62.51),"-62.51",IF(AND(E$28&gt;-62.51,E$28&lt;=-57.29),"-57.29",IF(AND(E$28&gt;-57.29,E$28&lt;=-52.08),"-52.08",IF(AND(E$28&gt;-52.08,E$28&lt;=-46.88),"-46.88",IF(AND(E$28&gt;-46.88,E$28&lt;=-41.66),"-41.66",IF(AND(E$28&gt;-41.66,E$28&lt;=-36.46),"-36.46",IF(AND(E$28&gt;-36.46,E$28&lt;=-31.25),"-31.25",IF(AND(E$28&gt;-31.25,E$28&lt;=-26.04),"-26.04",IF(AND(E$28&gt;-26.04,E$28&lt;=-20.83),"-20.83",IF(AND(E$28&gt;-20.83,E$28&lt;=-15.63),"-15.63",IF(AND(E$28&gt;-15.63,E$28&lt;=-10.42),"-10.42",IF(AND(E$28&gt;-10.42,E$28&lt;=-5.21),"-5.21",IF(AND(E$28&gt;-5.21,E$28&lt;=0),"0",IF(AND(E$28&gt;0,E$28&lt;5.21),"0",IF(AND(E$28&gt;=5.21,E$28&lt;10.42),"5.21",IF(AND(E$28&gt;=10.42,E$28&lt;15.63),"10.42",IF(AND(E$28&gt;=15.63,E$28&lt;20.83),"15.63",IF(AND(E$28&gt;=20.83,E$28&lt;26.04),"20.83",IF(AND(E$28&gt;=26.04,E$28&lt;31.25),"26.04",IF(AND(E$28&gt;=31.25,E$28&lt;36.46),"31.25",IF(AND(E$28&gt;=36.46,E$28&lt;41.66),"36.46",IF(AND(E$28&gt;=41.66,E$28&lt;46.88),"41.66",IF(AND(E$28&gt;=46.88,E$28&lt;52.08),"46.88",IF(AND(E$28&gt;=52.08,E$28&lt;57.29),"52.08",IF(AND(E$28&gt;=57.29,E$28&lt;62.51),"57.29",IF(AND(E$28&gt;=62.51,E$28&lt;67.71),"62.51",IF(AND(E$28&gt;=67.71,E$28&lt;72.92),"67.71",IF(AND(E$28&gt;=72.92,E$28&lt;78.13),"72.92",IF(AND(E$28&gt;=78.13,E$28&lt;83.33),"78.13",IF(AND(E$28&gt;=83.33,E$28&lt;88.54),"83.33",IF(AND(E$28&gt;=88.54,E$28&lt;93.75),"88.54",IF(AND(E$28&gt;=93.75,E$28&lt;98.96),"93.75",IF(AND(E$28&gt;=98.96,E$28&lt;104.17),"98.96",IF(AND(E$28&gt;=104.17,E$28&lt;109.38),"104.17",IF(AND(E$28&gt;=109.38,E$28&lt;114.58),"109.38",IF(AND(E$28&gt;=114.58,E$28&lt;119.79),"114.58",IF(AND(E$28&gt;=119.79,E$28&lt;=125),"119.79",))))))))))))))))))))))))))))))))))))))))))))))))</f>
        <v>-125</v>
      </c>
      <c r="F30" s="115">
        <f>(E$10+E$13+E$17+E$21+E$24+E$27+E$30)/3600000</f>
        <v>-84.554930555555558</v>
      </c>
      <c r="X30"/>
      <c r="Y30"/>
      <c r="Z30"/>
      <c r="AA30"/>
    </row>
    <row r="31" spans="2:27">
      <c r="B31" s="94">
        <f>B28-B30</f>
        <v>-3.2099999957272002E-3</v>
      </c>
      <c r="C31" s="57" t="s">
        <v>2</v>
      </c>
      <c r="D31" s="55" t="s">
        <v>29</v>
      </c>
      <c r="E31" s="106">
        <f>E28-E30</f>
        <v>2</v>
      </c>
      <c r="F31" s="116"/>
      <c r="X31"/>
      <c r="Y31"/>
      <c r="Z31"/>
      <c r="AA31"/>
    </row>
    <row r="32" spans="2:27" ht="18.75">
      <c r="B32" s="92" t="str">
        <f>IF(AND($B$31&gt;=-0.005208,$B$31&lt;=-0.004687),"0",IF(AND($B$31&gt;-0.004687,$B$31&lt;=-0.004167),"1",IF(AND($B$31&gt;-0.004167,$B$31&lt;=-0.003646),"2",IF(AND($B$31&gt;-0.003646,$B$31&lt;=-0.003125),"3",IF(AND($B$31&gt;-0.003125,$B$31&lt;=-0.002604),"4",IF(AND($B$31&gt;-0.002604,$B$31&lt;=-0.002083),"5",IF(AND($B$31&gt;-0.002083,$B$31&lt;=-0.001562),"6",IF(AND($B$31&gt;-0.001562,$B$31&lt;=-0.001042),"7",IF(AND($B$31&gt;-0.001042,$B$31&lt;=-0.000521),"8",IF(AND($B$31&gt;-0.000521,$B$31&lt;=0),"9",IF(AND($B$31&gt;0,$B$31&lt;0.000521),"0",IF(AND($B$31&gt;=0.000521,$B$31&lt;0.001042),"1",IF(AND($B$31&gt;=0.001042,$B$31&lt;0.001562),"2",IF(AND($B$31&gt;=0.001562,$B$31&lt;0.002083),"3",IF(AND($B$31&gt;=0.002083,$B$231&lt;0.002604),"4",IF(AND($B$31&gt;=0.002604,$B$31&lt;0.003125),"5",IF(AND($B$31&gt;=0.003125,$B$31&lt;0.003646),"6",IF(AND($B$31&gt;=0.003646,$B$31&lt;0.004167),"7",IF(AND($B$31&gt;=0.004167,$B$31&lt;0.004687),"8",IF(AND($B$31&gt;=0.004687,$B$31&lt;=0.005208),"9",))))))))))))))))))))</f>
        <v>3</v>
      </c>
      <c r="C32" s="57" t="s">
        <v>199</v>
      </c>
      <c r="D32" s="55" t="s">
        <v>199</v>
      </c>
      <c r="E32" s="103" t="str">
        <f>IF(AND($E$31&gt;=-5.208,$E$31&lt;=-4.687),"0",IF(AND($E$31&gt;-4.687,$E$31&lt;=-4.167),"1",IF(AND($E$31&gt;-4.167,$E$31&lt;=-3.646),"2",IF(AND($E$31&gt;-3.646,$E$31&lt;=-3.125),"3",IF(AND($E$31&gt;-3.125,$E$31&lt;=-2.604),"4",IF(AND($E$31&gt;-2.604,$E$31&lt;=-2.083),"5",IF(AND($E$31&gt;-2.083,$E$31&lt;=-1.562),"6",IF(AND($E$31&gt;-1.562,$E$31&lt;=-1.042),"7",IF(AND($E$31&gt;-1.042,$E$31&lt;=-0.521),"8",IF(AND($E$31&gt;-0.521,$E$31&lt;=0),"9",IF(AND($E$31&gt;0,$E$31&lt;0.521),"0",IF(AND($E$31&gt;=0.521,$E$31&lt;1.042),"1",IF(AND($E$31&gt;=1.042,$E$31&lt;1.562),"2",IF(AND($E$31&gt;=1.562,$E$31&lt;2.083),"3",IF(AND($E$31&gt;=2.083,$E$231&lt;2.604),"4",IF(AND($E$31&gt;=2.604,$E$31&lt;3.125),"5",IF(AND($E$31&gt;=3.125,$E$31&lt;3.646),"6",IF(AND($E$31&gt;=3.646,$E$31&lt;4.167),"7",IF(AND($E$31&gt;=4.167,$E$31&lt;4.687),"8",IF(AND($E$31&gt;=4.687,$E$31&lt;=5.208),"9",))))))))))))))))))))</f>
        <v>3</v>
      </c>
      <c r="F32" s="116"/>
      <c r="X32"/>
      <c r="Y32"/>
      <c r="Z32"/>
      <c r="AA32"/>
    </row>
    <row r="33" spans="2:27">
      <c r="B33" s="93" t="str">
        <f>IF(AND($B$31&gt;=-0.005208,$B$31&lt;=-0.004687),"-0.004687",IF(AND($B$31&gt;-0.004687,$B$31&lt;=-0.004167),"-0.004167",IF(AND($B$31&gt;-0.004167,$B$31&lt;=-0.003646),"-0.003646",IF(AND($B$31&gt;-0.003646,$B$31&lt;=-0.003125),"-0.003125",IF(AND($B$31&gt;-0.003125,$B$31&lt;=-0.002604),"-0.002604",IF(AND($B$31&gt;-0.002604,$B$31&lt;=-0.002083),"-0.002083",IF(AND($B$31&gt;-0.002083,$B$31&lt;=-0.001562),"-0.001562",IF(AND($B$31&gt;-0.001562,$B$31&lt;=-0.001042),"-0.001042",IF(AND($B$31&gt;-0.001042,$B$31&lt;=-0.000521),"-0.000521",IF(AND($B$31&gt;-0.000521,$B$31&lt;=0),"0",IF(AND($B$31&gt;0,$B$31&lt;0.000521),"0",IF(AND($B$31&gt;=0.000521,$B$31&lt;0.001042),"0.000521",IF(AND($B$31&gt;=0.001042,$B$31&lt;0.001562),"0.001042",IF(AND($B$31&gt;=0.001562,$B$31&lt;0.002083),"0.001562",IF(AND($B$31&gt;=0.002083,$B$231&lt;0.002604),"0.002083",IF(AND($B$31&gt;=0.002604,$B$31&lt;0.003125),"0.002604",IF(AND($B$31&gt;=0.003125,$B$31&lt;0.003646),"0.003125",IF(AND($B$31&gt;=0.003646,$B$31&lt;0.004167),"0.003646",IF(AND($B$31&gt;=0.004167,$B$31&lt;0.004687),"0.004167",IF(AND($B$31&gt;=0.004687,$B$31&lt;=0.005208),"0.004687",))))))))))))))))))))</f>
        <v>-0.003125</v>
      </c>
      <c r="C33" s="57" t="s">
        <v>110</v>
      </c>
      <c r="D33" s="55" t="s">
        <v>110</v>
      </c>
      <c r="E33" s="104" t="str">
        <f>IF(AND($E$31&gt;=-5.208,$E$31&lt;=-4.687),"-4.678",IF(AND($E$31&gt;-4.687,$E$31&lt;=-4.167),"-4.167",IF(AND($E$31&gt;-4.167,$E$31&lt;=-3.646),"-3.646",IF(AND($E$31&gt;-3.646,$E$31&lt;=-3.125),"-3.125",IF(AND($E$31&gt;-3.125,$E$31&lt;=-2.604),"-2.604",IF(AND($E$31&gt;-2.604,$E$31&lt;=-2.083),"-2.083",IF(AND($E$31&gt;-2.083,$E$31&lt;=-1.562),"-1.562",IF(AND($E$31&gt;-1.562,$E$31&lt;=-1.042),"-1.042",IF(AND($E$31&gt;-1.042,$E$31&lt;=-0.521),"-0.521",IF(AND($E$31&gt;-0.521,$E$31&lt;=0),"0",IF(AND($E$31&gt;0,$E$31&lt;0.521),"0",IF(AND($E$31&gt;=0.521,$E$31&lt;1.042),"0.521",IF(AND($E$31&gt;=1.042,$E$31&lt;1.562),"1.042",IF(AND($E$31&gt;=1.562,$E$31&lt;2.083),"1.562",IF(AND($E$31&gt;=2.083,$E$231&lt;2.604),"2.083",IF(AND($E$31&gt;=2.604,$E$31&lt;3.125),"2.604",IF(AND($E$31&gt;=3.125,$E$31&lt;3.646),"3.125",IF(AND($E$31&gt;=3.646,$E$31&lt;4.167),"3.646",IF(AND($E$31&gt;=4.167,$E$31&lt;4.687),"4.167",IF(AND($E$31&gt;=4.687,$E$31&lt;=5.208),"4.687",))))))))))))))))))))</f>
        <v>1.562</v>
      </c>
      <c r="F33" s="115">
        <f>(E$10+E$13+E$17+E$21+E$24+E$27+E$30+E$33)/3600000</f>
        <v>-84.554930121666672</v>
      </c>
      <c r="X33"/>
      <c r="Y33"/>
      <c r="Z33"/>
      <c r="AA33"/>
    </row>
    <row r="34" spans="2:27" ht="15.75" thickBot="1">
      <c r="B34" s="206">
        <f>B31-B33</f>
        <v>-8.499999572720001E-5</v>
      </c>
      <c r="C34" s="102" t="s">
        <v>2</v>
      </c>
      <c r="D34" s="113" t="s">
        <v>29</v>
      </c>
      <c r="E34" s="114">
        <f>E31-E33</f>
        <v>0.43799999999999994</v>
      </c>
      <c r="F34" s="119"/>
      <c r="X34"/>
      <c r="Y34"/>
      <c r="Z34"/>
      <c r="AA34"/>
    </row>
    <row r="35" spans="2:27" ht="15.75" thickTop="1">
      <c r="B35" s="101">
        <f>C3</f>
        <v>34.065379999999998</v>
      </c>
      <c r="C35" s="63" t="s">
        <v>153</v>
      </c>
      <c r="D35" s="62" t="s">
        <v>30</v>
      </c>
      <c r="E35" s="112">
        <f>C3*3600000</f>
        <v>122635367.99999999</v>
      </c>
      <c r="F35" s="120"/>
      <c r="X35"/>
      <c r="Y35"/>
      <c r="Z35"/>
      <c r="AA35"/>
    </row>
    <row r="36" spans="2:27" ht="18.75">
      <c r="B36" s="92" t="str">
        <f>IF(AND(VALUE($B$35)&gt;=-90,VALUE($B$35)&lt;=-80),"A",IF(AND(VALUE($B$35)&gt;-80,VALUE($B$35)&lt;=-70),"B",IF(AND(VALUE($B$35)&gt;-70,VALUE($B$35)&lt;=-60),"C",IF(AND(VALUE($B$35)&gt;-60,VALUE($B$35)&lt;=-50),"D",IF(AND(VALUE($B$35)&gt;-50,VALUE($B$35)&lt;=-40),"E",IF(AND(VALUE($B$35)&gt;-40,VALUE($B$35)&lt;=-30),"F",IF(AND(VALUE($B$35)&gt;-30,VALUE($B$35)&lt;=-20),"G",IF(AND(VALUE($B$35)&gt;-20,VALUE($B$35)&lt;=-10),"H",IF(AND(VALUE($B$35)&gt;-10,VALUE($B$35)&lt;0),"I",IF(AND(VALUE($B$35)&gt;=0,VALUE($B$35)&lt;10),"J",IF(AND(VALUE($B$35)&gt;=10,VALUE($B$35)&lt;20),"K",IF(AND(VALUE($B$35)&gt;=20,VALUE($B$35)&lt;30),"L",IF(AND(VALUE($B$35)&gt;=30,VALUE($B$35)&lt;40),"M",IF(AND(VALUE($B$35)&gt;=40,VALUE($B$35)&lt;50),"N",IF(AND(VALUE($B$35)&gt;=50,VALUE($B$35)&lt;60),"O",IF(AND(VALUE($B$35)&gt;=60,VALUE($B$35)&lt;70),"P",IF(AND(VALUE($B$35)&gt;=70,VALUE($B$35)&lt;80),"Q",IF(AND(VALUE($B$35)&gt;=80,VALUE($B$35)&lt;=90),"R",))))))))))))))))))</f>
        <v>M</v>
      </c>
      <c r="C36" s="57" t="s">
        <v>200</v>
      </c>
      <c r="D36" s="55" t="s">
        <v>200</v>
      </c>
      <c r="E36" s="103" t="str">
        <f>IF(AND(VALUE(E$35)&gt;=-324000000,VALUE(E$35)&lt;=-288000000),"A",IF(AND(VALUE(E$35)&gt;-288000000,VALUE(E$35)&lt;=-252000000),"B",IF(AND(VALUE(E$35)&gt;-252000000,VALUE(E$35)&lt;=-216000000),"C",IF(AND(VALUE(E$35)&gt;-216000000,VALUE(E$35)&lt;=-180000000),"D",IF(AND(VALUE(E$35)&gt;-180000000,VALUE(E$35)&lt;=-144000000),"E",IF(AND(VALUE(E$35)&gt;-144000000,VALUE(E$35)&lt;=-108000000),"F",IF(AND(VALUE(E$35)&gt;-108000000,VALUE(E$35)&lt;=-72000000),"G",IF(AND(VALUE(E$35)&gt;-72000000,VALUE(E$35)&lt;=-36000000),"H",IF(AND(VALUE(E$35)&gt;-36000000,VALUE(E$35)&lt;0),"I",IF(AND(VALUE(E$35)&gt;=0,VALUE(E$35)&lt;36000000),"J",IF(AND(VALUE(E$35)&gt;=36000000,VALUE(E$35)&lt;72000000),"K",IF(AND(VALUE(E$35)&gt;=72000000,VALUE(E$35)&lt;108000000),"L",IF(AND(VALUE(E$35)&gt;=108000000,VALUE(E$35)&lt;144000000),"M",IF(AND(VALUE(E$35)&gt;=144000000,VALUE(E$35)&lt;180000000),"N",IF(AND(VALUE(E$35)&gt;180000000,VALUE(E$35)&lt;216000000),"O",IF(AND(VALUE(E$35)&gt;=216000000,VALUE(E$35)&lt;252000000),"P",IF(AND(VALUE(E$35)&gt;=252000000,VALUE(E$35)&lt;288000000),"Q",IF(AND(VALUE(E$35)&gt;=288000000,VALUE(E$35)&lt;=324000000),"R",))))))))))))))))))</f>
        <v>M</v>
      </c>
      <c r="F36" s="71"/>
      <c r="X36"/>
      <c r="Y36"/>
      <c r="Z36"/>
      <c r="AA36"/>
    </row>
    <row r="37" spans="2:27">
      <c r="B37" s="96" t="str">
        <f>IF(AND(VALUE($B$35)&gt;=-90,VALUE($B$35)&lt;=-80),"-80",IF(AND(VALUE($B$35)&gt;-80,VALUE($B$35)&lt;=-70),"-70",IF(AND(VALUE($B$35)&gt;-70,VALUE($B$35)&lt;=-60),"-60",IF(AND(VALUE($B$35)&gt;-60,VALUE($B$35)&lt;=-50),"-50",IF(AND(VALUE($B$35)&gt;-50,VALUE($B$35)&lt;=-40),"-40",IF(AND(VALUE($B$35)&gt;-40,VALUE($B$35)&lt;=-30),"-30",IF(AND(VALUE($B$35)&gt;-30,VALUE($B$35)&lt;=-20),"-20",IF(AND(VALUE($B$35)&gt;-20,VALUE($B$35)&lt;=-10),"-10",IF(AND(VALUE($B$35)&gt;-10,VALUE($B$35)&lt;0),"0",IF(AND(VALUE($B$35)&gt;=0,VALUE($B$35)&lt;10),"0",IF(AND(VALUE($B$35)&gt;=10,VALUE($B$35)&lt;20),"10",IF(AND(VALUE($B$35)&gt;=20,VALUE($B$35)&lt;30),"20",IF(AND(VALUE($B$35)&gt;=30,VALUE($B$35)&lt;40),"30",IF(AND(VALUE($B$35)&gt;=40,VALUE($B$35)&lt;50),"40",IF(AND(VALUE($B$35)&gt;=50,VALUE($B$35)&lt;60),"50",IF(AND(VALUE($B$35)&gt;=60,VALUE($B$35)&lt;70),"60",IF(AND(VALUE($B$35)&gt;=70,VALUE($B$35)&lt;80),"70",IF(AND(VALUE($B$35)&gt;=80,VALUE($B$35)&lt;=90),"80",))))))))))))))))))</f>
        <v>30</v>
      </c>
      <c r="C37" s="57" t="s">
        <v>9</v>
      </c>
      <c r="D37" s="55" t="s">
        <v>9</v>
      </c>
      <c r="E37" s="107" t="str">
        <f>IF(AND(VALUE(E$35)&gt;=-324000000,VALUE(E$35)&lt;=-288000000),"-288000000",IF(AND(VALUE(E$35)&gt;-288000000,VALUE(E$35)&lt;=-252000000),"-252000000",IF(AND(VALUE(E$35)&gt;-252000000,VALUE(E$35)&lt;=-216000000),"-216000000",IF(AND(VALUE(E$35)&gt;-216000000,VALUE(E$35)&lt;=-180000000),"-180000000",IF(AND(VALUE(E$35)&gt;-180000000,VALUE(E$35)&lt;=-144000000),"-144000000",IF(AND(VALUE(E$35)&gt;-144000000,VALUE(E$35)&lt;=-108000000),"-108000000",IF(AND(VALUE(E$35)&gt;-108000000,VALUE(E$35)&lt;=-72000000),"-72000000",IF(AND(VALUE(E$35)&gt;-72000000,VALUE(E$35)&lt;=-36000000),"-36000000",IF(AND(VALUE(E$35)&gt;-36000000,VALUE(E$35)&lt;0),"0",IF(AND(VALUE(E$35)&gt;=0,VALUE(E$35)&lt;36000000),"0",IF(AND(VALUE(E$35)&gt;=36000000,VALUE(E$35)&lt;72000000),"36000000",IF(AND(VALUE(E$35)&gt;=72000000,VALUE(E$35)&lt;108000000),"72000000",IF(AND(VALUE(E$35)&gt;=108000000,VALUE(E$35)&lt;144000000),"108000000",IF(AND(VALUE(E$35)&gt;=144000000,VALUE(E$35)&lt;180000000),"144000000",IF(AND(VALUE(E$35)&gt;180000000,VALUE(E$35)&lt;216000000),"180000000",IF(AND(VALUE(E$35)&gt;=216000000,VALUE(E$35)&lt;252000000),"216000000",IF(AND(VALUE(E$35)&gt;=252000000,VALUE(E$35)&lt;288000000),"252000000",IF(AND(VALUE(E$35)&gt;=288000000,VALUE(E$35)&lt;=324000000),"288000000",))))))))))))))))))</f>
        <v>108000000</v>
      </c>
      <c r="F37" s="117">
        <f>E$37/3600000</f>
        <v>30</v>
      </c>
      <c r="X37"/>
      <c r="Y37"/>
      <c r="Z37"/>
      <c r="AA37"/>
    </row>
    <row r="38" spans="2:27">
      <c r="B38" s="55">
        <f>B35-B37</f>
        <v>4.0653799999999976</v>
      </c>
      <c r="C38" s="57" t="s">
        <v>11</v>
      </c>
      <c r="D38" s="55" t="s">
        <v>32</v>
      </c>
      <c r="E38" s="105">
        <f>E35-E37</f>
        <v>14635367.999999985</v>
      </c>
      <c r="F38" s="71"/>
      <c r="X38"/>
      <c r="Y38"/>
      <c r="Z38"/>
      <c r="AA38"/>
    </row>
    <row r="39" spans="2:27" ht="18.75">
      <c r="B39" s="92" t="str">
        <f>IF(AND($B38&gt;=-10,$B38&lt;=-9),"0",IF(AND($B38&gt;-9,$B38&lt;=-8),"1",IF(AND($B38&gt;-8,$B38&lt;=-7),"2",IF(AND($B38&gt;-7,$B38&lt;=-6),"3",IF(AND($B38&gt;-6,$B38&lt;=-5),"4",IF(AND($B38&gt;-5,$B38&lt;=-4),"5",IF(AND($B38&gt;-4,$B38&lt;=-3),"6",IF(AND($B38&gt;-3,$B38&lt;=-2),"7",IF(AND($B38&gt;-2,$B38&lt;=-1),"8",IF(AND($B38&gt;-1,$B38&lt;=0),"9",IF(AND($B38&gt;=0,$B38&lt;1),"0",IF(AND($B38&gt;=1,$B38&lt;2),"1",IF(AND($B38&gt;=2,$B38&lt;3),"2",IF(AND($B38&gt;=3,$B38&lt;4),"3",IF(AND($B38&gt;=4,$B38&lt;5),"4",IF(AND($B38&gt;=5,$B38&lt;6),"5",IF(AND($B38&gt;=6,$B38&lt;7),"6",IF(AND($B38&gt;=7,$B38&lt;8),"7",IF(AND($B38&gt;=8,$B38&lt;9),"8",IF(AND($B38&gt;=9,$B38&lt;=10),"9",))))))))))))))))))))</f>
        <v>4</v>
      </c>
      <c r="C39" s="57" t="s">
        <v>201</v>
      </c>
      <c r="D39" s="55" t="s">
        <v>201</v>
      </c>
      <c r="E39" s="103" t="str">
        <f>IF(AND(E$38&gt;=-36000000,E$38&lt;=-32400000),"0",IF(AND(E$38&gt;-32400000,E$38&lt;=-28800000),"1",IF(AND(E$38&gt;-28800000,E$38&lt;=-25200000),"2",IF(AND(E$38&gt;-25200000,E$38&lt;=-21600000),"3",IF(AND(E$38&gt;-21600000,E$38&lt;=-18000000),"4",IF(AND(E$38&gt;-18000000,E$38&lt;=-14400000),"5",IF(AND(E$38&gt;-14400000,E$38&lt;=-10800000),"6",IF(AND(E$38&gt;-10800000,E$38&lt;=-7200000),"7",IF(AND($E$38&gt;-7200000,E$38&lt;=-3600000),"8",IF(AND(E$38&gt;-3600000,E$38&lt;=0),"9",IF(AND(E$38&gt;=0,E$38&lt;3600000),"0",IF(AND(E$38&gt;=3600000,E$38&lt;7200000),"1",IF(AND(E$38&gt;=7200000,E$38&lt;10800000),"2",IF(AND(E$38&gt;=10800000,E$38&lt;14400000),"3",IF(AND(E$38&gt;=14400000,E$38&lt;18000000),"4",IF(AND(E$38&gt;=18000000,E$38&lt;21600000),"5",IF(AND(E$38&gt;=21600000,E$38&lt;25200000),"6",IF(AND(E$38&gt;=25200000,E$38&lt;28800000),"7",IF(AND(E$38&gt;=28800000,E$38&lt;32400000),"8",IF(AND(E$38&gt;=32400000,E$38&lt;=36000000),"9",))))))))))))))))))))</f>
        <v>4</v>
      </c>
      <c r="F39" s="71"/>
      <c r="X39"/>
      <c r="Y39"/>
      <c r="Z39"/>
      <c r="AA39"/>
    </row>
    <row r="40" spans="2:27">
      <c r="B40" s="97" t="str">
        <f>IF(AND($B38&gt;=-10,$B38&lt;=-9),"-9",IF(AND($B38&gt;-9,$B38&lt;=-8),"-8",IF(AND($B38&gt;-8,$B38&lt;=-7),"-7",IF(AND($B38&gt;-7,$B38&lt;=-6),"-6",IF(AND($B38&gt;-6,$B38&lt;=-5),"-15",IF(AND($B38&gt;-5,$B38&lt;=-4),"-4",IF(AND($B38&gt;-4,$B38&lt;=-3),"-3",IF(AND($B38&gt;-3,$B38&lt;=-2),"-2",IF(AND($B38&gt;-2,$B38&lt;=-1),"-1",IF(AND($B38&gt;-1,$B38&lt;=0),"0",IF(AND($B38&gt;=0,$B38&lt;1),"0",IF(AND($B38&gt;=1,$B38&lt;2),"1",IF(AND($B38&gt;=2,$B38&lt;3),"2",IF(AND($B38&gt;=3,$B38&lt;4),"3",IF(AND($B38&gt;=4,$B38&lt;5),"4",IF(AND($B38&gt;=5,$B38&lt;6),"5",IF(AND($B38&gt;=6,$B38&lt;7),"6",IF(AND($B38&gt;=7,$B38&lt;8),"7",IF(AND($B38&gt;=8,$B38&lt;9),"8",IF(AND($B38&gt;=9,$B38&lt;=10),"9",))))))))))))))))))))</f>
        <v>4</v>
      </c>
      <c r="C40" s="57" t="s">
        <v>10</v>
      </c>
      <c r="D40" s="55" t="s">
        <v>10</v>
      </c>
      <c r="E40" s="107" t="str">
        <f>IF(AND(E$38&gt;=-36000000,E$38&lt;=-32400000),"-32400000",IF(AND(E$38&gt;-32400000,E$38&lt;=-28800000),"-28800000",IF(AND(E$38&gt;-28800000,E$38&lt;=-25200000),"-25200000",IF(AND(E$38&gt;-25200000,E$38&lt;=-21600000),"-21600000",IF(AND(E$38&gt;-21600000,E$38&lt;=-18000000),"-18000000",IF(AND(E$38&gt;-18000000,E$38&lt;=-14400000),"-14400000",IF(AND(E$38&gt;-14400000,E$38&lt;=-10800000),"-10800000",IF(AND(E$38&gt;-10800000,E$38&lt;=-7200000),"-7200000",IF(AND($E$38&gt;-7200000,E$38&lt;=-3600000),"-3600000",IF(AND(E$38&gt;-3600000,E$38&lt;=0),"0",IF(AND(E$38&gt;=0,E$38&lt;3600000),"0",IF(AND(E$38&gt;=3600000,E$38&lt;7200000),"3600000",IF(AND(E$38&gt;=7200000,E$38&lt;10800000),"7200000",IF(AND(E$38&gt;=10800000,E$38&lt;14400000),"10800000",IF(AND(E$38&gt;=14400000,E$38&lt;18000000),"14400000",IF(AND(E$38&gt;=18000000,E$38&lt;21600000),"18000000",IF(AND(E$38&gt;=21600000,E$38&lt;25200000),"21600000",IF(AND(E$38&gt;=25200000,E$38&lt;28800000),"25200000",IF(AND(E$38&gt;=28800000,E$38&lt;32400000),"28800000",IF(AND(E$38&gt;=32400000,E$38&lt;=36000000),"32400000",))))))))))))))))))))</f>
        <v>14400000</v>
      </c>
      <c r="F40" s="117">
        <f>(E$37+E$40)/3600000</f>
        <v>34</v>
      </c>
      <c r="W40"/>
      <c r="X40"/>
      <c r="Y40"/>
      <c r="Z40"/>
      <c r="AA40"/>
    </row>
    <row r="41" spans="2:27">
      <c r="B41" s="55">
        <f>B38-B40</f>
        <v>6.5379999999997551E-2</v>
      </c>
      <c r="C41" s="57" t="s">
        <v>5</v>
      </c>
      <c r="D41" s="55" t="s">
        <v>32</v>
      </c>
      <c r="E41" s="105">
        <f>E38-E40</f>
        <v>235367.9999999851</v>
      </c>
      <c r="F41" s="71"/>
      <c r="X41"/>
      <c r="Y41"/>
      <c r="Z41"/>
      <c r="AA41"/>
    </row>
    <row r="42" spans="2:27">
      <c r="B42" s="55">
        <f>B41*60</f>
        <v>3.9227999999998531</v>
      </c>
      <c r="C42" s="57" t="s">
        <v>12</v>
      </c>
      <c r="D42" s="55"/>
      <c r="E42" s="105"/>
      <c r="F42" s="71"/>
      <c r="X42"/>
      <c r="Y42"/>
      <c r="Z42"/>
      <c r="AA42"/>
    </row>
    <row r="43" spans="2:27" ht="18.75">
      <c r="B43" s="92" t="str">
        <f>IF(AND($B$42&gt;=-60,$B$42&lt;=-57.5),"a",IF(AND($B$42&gt;-57.5,$B$42&lt;=-55),"b",IF(AND($B$42&gt;-55,$B$42&lt;=-52.5),"c",IF(AND($B$42&gt;-52.5,$B$42&lt;=-50),"d",IF(AND($B$42&gt;-50,$B$42&lt;=-47.5),"e",IF(AND($B$42&gt;-47.5,$B$42&lt;=-45),"f",IF(AND($B$42&gt;-45,$B$42&lt;=-42.5),"g",IF(AND($B$42&gt;-42.5,$B$42&lt;=-40),"h",IF(AND($B$42&gt;-40,$B$42&lt;=-37.5),"i",IF(AND($B$42&gt;-37.5,$B$42&lt;=-35),"j",IF(AND($B$42&gt;-35,$B$42&lt;=-32.5),"k",IF(AND($B$42&gt;-32.5,$B$42&lt;=-30),"l",IF(AND($B$42&gt;-30,$B$42&lt;=-27.5),"m",IF(AND($B$42&gt;-27.5,$B$42&lt;=-25),"n",IF(AND($B$42&gt;-25,$B$42&lt;=-22.5),"o",IF(AND($B$42&gt;-22.5,$B$42&lt;=-20),"p",IF(AND($B$42&gt;-20,$B$42&lt;=-17.5),"q",IF(AND($B$42&gt;-17.5,$B$42&lt;=-15),"r",IF(AND($B$42&gt;-15,$B$42&lt;=-12.5),"s",IF(AND($B$42&gt;-12.5,$B$42&lt;=-10),"t",IF(AND($B$42&gt;-10,$B$42&lt;=-7.5),"u",IF(AND($B$42&gt;-7.5,$B$42&lt;=-5),"v",IF(AND($B$42&gt;-5,$B$42&lt;=-2.5),"w",IF(AND($B$42&gt;-2.5,$B$42&lt;0),"x",IF(AND($B$42&gt;=0,$B$42&lt;2.5),"a",IF(AND($B$42&gt;=2.5,$B$42&lt;5),"b",IF(AND($B$42&gt;=5,$B$42&lt;7.5),"c",IF(AND($B$42&gt;=7.5,$B$42&lt;10),"d",IF(AND($B$42&gt;=10,$B$42&lt;12.5),"e",IF(AND($B$42&gt;=12.5,$B$42&lt;15),"f",IF(AND($B$42&gt;=15,$B$42&lt;17.5),"g",IF(AND($B$42&gt;=17.5,$B$42&lt;20),"h",IF(AND($B$42&gt;=20,$B$42&lt;22.5),"i",IF(AND($B$42&gt;=22.5,$B$42&lt;25),"j",IF(AND($B$42&gt;=25,$B$42&lt;27.5),"k",IF(AND($B$42&gt;=27.5,$B$42&lt;30),"l",IF(AND($B$42&gt;=30,$B$42&lt;32.5),"m",IF(AND($B$42&gt;=32.5,$B$42&lt;35),"n",IF(AND($B$42&gt;=35,$B$42&lt;37.5),"o",IF(AND($B$42&gt;=37.5,$B$42&lt;40),"p",IF(AND($B$42&gt;=40,$B$42&lt;42.5),"q",IF(AND($B$42&gt;=42.5,$B$42&lt;45),"r",IF(AND($B$42&gt;=45,$B$42&lt;47.5),"s",IF(AND($B$42&gt;=47.5,$B$42&lt;50),"t",IF(AND($B$42&gt;=50,$B$42&lt;52.5),"u",IF(AND($B$42&gt;=52.5,$B$42&lt;55),"v",IF(AND($B$42&gt;=55,$B$42&lt;57.5),"w",IF(AND($B$42&gt;57.5,$B$42&lt;=60),"x",))))))))))))))))))))))))))))))))))))))))))))))))</f>
        <v>b</v>
      </c>
      <c r="C43" s="57" t="s">
        <v>202</v>
      </c>
      <c r="D43" s="55" t="s">
        <v>202</v>
      </c>
      <c r="E43" s="103" t="str">
        <f>IF(AND(E$41&gt;=-3600000,E$41&lt;=-3450000),"a",IF(AND(E$41&gt;-3450000,E$41&lt;=-3300000),"b",IF(AND(E$41&gt;-3300000,E$41&lt;=-3150000),"c",IF(AND(E$41&gt;-3150000,E$41&lt;=-3000000),"d",IF(AND(E$41&gt;-3000000,E$41&lt;=-2850000),"e",IF(AND(E$41&gt;-2850000,E$41&lt;=-2700000),"f",IF(AND(E$41&gt;-2700000,E$41&lt;=-2550000),"g",IF(AND(E$41&gt;-2550000,E$41&lt;=-2400000),"h",IF(AND(E$41&gt;-2400000,E$41&lt;=-2250000),"i",IF(AND(E$41&gt;-2250000,E$41&lt;=-2100000),"j",IF(AND(E$41&gt;-2100000,E$41&lt;=-1950000),"k",IF(AND(E$41&gt;-1950000,E$41&lt;=-1800000),"l",IF(AND(E$41&gt;-1800000,E$41&lt;=-1650000),"m",IF(AND(E$41&gt;-1650000,E$41&lt;=-1500000),"n",IF(AND(E$41&gt;-1500000,E$41&lt;=-1350000),"o",IF(AND(E$41&gt;-1350000,E$41&lt;=-1200000),"p",IF(AND(E$41&gt;-1200000,E$41&lt;=-1050000),"q",IF(AND(E$41&gt;-1050000,E$41&lt;=-900000),"r",IF(AND(E$41&gt;-900000,E$41&lt;=-750000),"s",IF(AND(E$41&gt;-750000,E$41&lt;=-600000),"t",IF(AND(E$41&gt;-600000,E$41&lt;=-450000),"u",IF(AND(E$41&gt;-450000,E$41&lt;=-300000),"v",IF(AND(E$41&gt;-300000,E$41&lt;=-150000),"w",IF(AND(E$41&gt;-150000,E$41&lt;0),"x",IF(AND(E$41&gt;=0,E$41&lt;150000),"a",IF(AND(E$41&gt;=150000,E$41&lt;300000),"b",IF(AND(E$41&gt;=300000,E$41&lt;450000),"c",IF(AND(E$41&gt;=450000,E$41&lt;600000),"d",IF(AND(E$41&gt;=600000,E$41&lt;750000),"e",IF(AND(E$41&gt;=750000,E$41&lt;900000),"f",IF(AND(E$41&gt;=900000,E$41&lt;1050000),"g",IF(AND(E$41&gt;=1050000,E$41&lt;1200000),"h",IF(AND(E$41&gt;=1200000,E$41&lt;1350000),"i",IF(AND(E$41&gt;=1350000,E$41&lt;1500000),"j",IF(AND(E$41&gt;=1500000,E$41&lt;1650000),"k",IF(AND(E$41&gt;=1650000,E$41&lt;1800000),"l",IF(AND(E$41&gt;=1800000,E$41&lt;1950000),"m",IF(AND(E$41&gt;=1950000,E$41&lt;2100000),"n",IF(AND(E$41&gt;=2100000,E$41&lt;2250000),"o",IF(AND(E$41&gt;=2250000,E$41&lt;2400000),"p",IF(AND(E$41&gt;=2400000,E$41&lt;2550000),"q",IF(AND(E$41&gt;=2550000,$E$41&lt;2700000),"r",IF(AND(E$41&gt;=2700000,E$41&lt;2850000),"s",IF(AND($E$41&gt;=2850000,E$41&lt;3000000),"t",IF(AND(E$41&gt;=3000000,E$41&lt;3150000),"u",IF(AND(E$41&gt;=3150000,E$41&lt;3300000),"v",IF(AND(E$41&gt;=3300000,E$41&lt;3450000),"w",IF(AND($E$41&gt;3450000,E$41&lt;=3600000),"x",))))))))))))))))))))))))))))))))))))))))))))))))</f>
        <v>b</v>
      </c>
      <c r="F43" s="71"/>
      <c r="X43"/>
      <c r="Y43"/>
      <c r="Z43"/>
      <c r="AA43"/>
    </row>
    <row r="44" spans="2:27">
      <c r="B44" s="97" t="str">
        <f>IF(AND($B$42&gt;=-60,$B$42&lt;=-57.5),"-57.5",IF(AND($B$42&gt;-57.5,$B$42&lt;=-55),"-55",IF(AND($B$42&gt;-55,$B$42&lt;=-52.5),"-52.5",IF(AND($B$42&gt;-52.5,$B$42&lt;=-50),"-50",IF(AND($B$42&gt;-50,$B$42&lt;=-47.5),"-47.5",IF(AND($B$42&gt;-47.5,$B$42&lt;=-45),"-45",IF(AND($B$42&gt;-45,$B$42&lt;=-42.5),"-42.5",IF(AND($B$42&gt;-42.5,$B$42&lt;=-40),"-40",IF(AND($B$42&gt;-40,$B$42&lt;=-37.5),"-37.5",IF(AND($B$42&gt;-37.5,$B$42&lt;=-35),"-35",IF(AND($B$42&gt;-35,$B$42&lt;=-32.5),"-32.5",IF(AND($B$42&gt;-32.5,$B$42&lt;=-30),"-30",IF(AND($B$42&gt;-30,$B$42&lt;=-27.5),"-27.5",IF(AND($B$42&gt;-27.5,$B$42&lt;=-25),"-25",IF(AND($B$42&gt;-25,$B$42&lt;=-22.5),"-22.5",IF(AND($B$42&gt;-22.5,$B$42&lt;=-20),"-20",IF(AND($B$42&gt;-20,$B$42&lt;=-17.5),"-17.5",IF(AND($B$42&gt;-17.5,$B$42&lt;=-15),"-15",IF(AND($B$42&gt;-15,$B$42&lt;=-12.5),"-12.5",IF(AND($B$42&gt;-12.5,$B$42&lt;=-10),"-10",IF(AND($B$42&gt;-10,$B$42&lt;=-7.5),"-7.5",IF(AND($B$42&gt;-7.5,$B$42&lt;=-5),"-5",IF(AND($B$42&gt;-5,$B$42&lt;=-2.5),"-2.5",IF(AND($B$42&gt;-2.5,$B$42&lt;0),"0",IF(AND($B$42&gt;=0,$B$42&lt;2.5),"0",IF(AND($B$42&gt;=2.5,$B$42&lt;5),"2.5",IF(AND($B$42&gt;=5,$B$42&lt;7.5),"5",IF(AND($B$42&gt;=7.5,$B$42&lt;10),"7.5",IF(AND($B$42&gt;=10,$B$42&lt;12.5),"10",IF(AND($B$42&gt;=12.5,$B$42&lt;15),"12.5",IF(AND($B$42&gt;=15,$B$42&lt;17.5),"15",IF(AND($B$42&gt;=17.5,$B$42&lt;20),"17.5",IF(AND($B$42&gt;=20,$B$42&lt;22.5),"20",IF(AND($B$42&gt;=22.5,$B$42&lt;25),"22.5",IF(AND($B$42&gt;=25,$B$42&lt;27.5),"25",IF(AND($B$42&gt;=27.5,$B$42&lt;30),"27.5",IF(AND($B$42&gt;=30,$B$42&lt;32.5),"30",IF(AND($B$42&gt;=32.5,$B$42&lt;35),"32.5",IF(AND($B$42&gt;=35,$B$42&lt;37.5),"35",IF(AND($B$42&gt;=37.5,$B$42&lt;40),"37.5",IF(AND($B$42&gt;=40,$B$42&lt;42.5),"40",IF(AND($B$42&gt;=42.5,$B$42&lt;45),"42.5",IF(AND($B$42&gt;=45,$B$42&lt;47.5),"45",IF(AND($B$42&gt;=47.5,$B$42&lt;50),"47.5",IF(AND($B$42&gt;=50,$B$42&lt;52.5),"50",IF(AND($B$42&gt;=52.5,$B$42&lt;55),"52.5",IF(AND($B$42&gt;=55,$B$42&lt;57.5),"55",IF(AND($B$42&gt;57.5,$D$241&lt;=60),"57.5",))))))))))))))))))))))))))))))))))))))))))))))))</f>
        <v>2.5</v>
      </c>
      <c r="C44" s="57" t="s">
        <v>13</v>
      </c>
      <c r="D44" s="55" t="s">
        <v>13</v>
      </c>
      <c r="E44" s="107" t="str">
        <f>IF(AND(E$41&gt;=-3600000,E$41&lt;=-3450000),"-3450000",IF(AND(E$41&gt;-3450000,E$41&lt;=-3300000),"-3300000",IF(AND(E$41&gt;-3300000,E$41&lt;=-3150000),"-3150000",IF(AND(E$41&gt;-3150000,E$41&lt;=-3000000),"-3000000",IF(AND(E$41&gt;-3000000,E$41&lt;=-2850000),"-2850000",IF(AND(E$41&gt;-2850000,E$41&lt;=-2700000),"-2850000",IF(AND(E$41&gt;-2700000,E$41&lt;=-2550000),"-2550000",IF(AND(E$41&gt;-2550000,E$41&lt;=-2400000),"-2400000",IF(AND(E$41&gt;-2400000,E$41&lt;=-2250000),"-2250000",IF(AND(E$41&gt;-2250000,E$41&lt;=-2100000),"-2100000",IF(AND(E$41&gt;-2100000,E$41&lt;=-1950000),"-1950000",IF(AND(E$41&gt;-1950000,E$41&lt;=-1800000),"-1800000",IF(AND(E$41&gt;-1800000,E$41&lt;=-1650000),"-1650000",IF(AND(E$41&gt;-1650000,E$41&lt;=-1500000),"-1500000",IF(AND(E$41&gt;-1500000,E$41&lt;=-1350000),"-1350000",IF(AND(E$41&gt;-1350000,E$41&lt;=-1200000),"-1200000",IF(AND(E$41&gt;-1200000,E$41&lt;=-1050000),"-1050000",IF(AND(E$41&gt;-1050000,E$41&lt;=-900000),"-900000",IF(AND(E$41&gt;-900000,E$41&lt;=-750000),"-750000",IF(AND(E$41&gt;-750000,E$41&lt;=-600000),"-600000",IF(AND(E$41&gt;-600000,E$41&lt;=-450000),"-450000",IF(AND(E$41&gt;-450000,E$41&lt;=-300000),"-300000",IF(AND(E$41&gt;-300000,E$41&lt;=-150000),"-150000",IF(AND(E$41&gt;-150000,E$41&lt;0),"0",IF(AND(E$41&gt;=0,E$41&lt;150000),"0",IF(AND(E$41&gt;=150000,E$41&lt;300000),"150000",IF(AND(E$41&gt;=300000,E$41&lt;450000),"300000",IF(AND(E$41&gt;=450000,E$41&lt;600000),"450000",IF(AND(E$41&gt;=600000,E$41&lt;750000),"600000",IF(AND(E$41&gt;=750000,E$41&lt;900000),"750000",IF(AND(E$41&gt;=900000,E$41&lt;1050000),"900000",IF(AND(E$41&gt;=1050000,E$41&lt;1200000),"1050000",IF(AND(E$41&gt;=1200000,E$41&lt;1350000),"1200000",IF(AND(E$41&gt;=1350000,E$41&lt;1500000),"1350000",IF(AND(E$41&gt;=1500000,E$41&lt;1650000),"1500000",IF(AND(E$41&gt;=1650000,E$41&lt;1800000),"1650000",IF(AND(E$41&gt;=1800000,E$41&lt;1950000),"1800000",IF(AND(E$41&gt;=1950000,E$41&lt;2100000),"1950000",IF(AND(E$41&gt;=2100000,E$41&lt;2250000),"2100000",IF(AND(E$41&gt;=2250000,E$41&lt;2400000),"2250000",IF(AND(E$41&gt;=2400000,E$41&lt;2550000),"2400000",IF(AND(E$41&gt;=2550000,$E$41&lt;2700000),"2550000",IF(AND(E$41&gt;=2700000,E$41&lt;2850000),"2700000",IF(AND($E$41&gt;=2850000,E$41&lt;3000000),"2850000",IF(AND(E$41&gt;=3000000,E$41&lt;3150000),"3000000",IF(AND(E$41&gt;=3150000,E$41&lt;3300000),"3150000",IF(AND(E$41&gt;=3300000,E$41&lt;3450000),"3300000",IF(AND($E$41&gt;3450000,E$41&lt;=3600000),"3450000",))))))))))))))))))))))))))))))))))))))))))))))))</f>
        <v>150000</v>
      </c>
      <c r="F44" s="117">
        <f>(E$37+E$40+E$44)/3600000</f>
        <v>34.041666666666664</v>
      </c>
      <c r="X44"/>
      <c r="Y44"/>
      <c r="Z44"/>
      <c r="AA44"/>
    </row>
    <row r="45" spans="2:27">
      <c r="B45" s="55">
        <f>B42-B44</f>
        <v>1.4227999999998531</v>
      </c>
      <c r="C45" s="57" t="s">
        <v>5</v>
      </c>
      <c r="D45" s="55"/>
      <c r="E45" s="105"/>
      <c r="F45" s="71"/>
      <c r="X45"/>
      <c r="Y45"/>
      <c r="Z45"/>
      <c r="AA45"/>
    </row>
    <row r="46" spans="2:27">
      <c r="B46" s="55">
        <f>B45*60</f>
        <v>85.367999999991184</v>
      </c>
      <c r="C46" s="57" t="s">
        <v>14</v>
      </c>
      <c r="D46" s="55" t="s">
        <v>32</v>
      </c>
      <c r="E46" s="105">
        <f>E41-E44</f>
        <v>85367.999999985099</v>
      </c>
      <c r="F46" s="71"/>
      <c r="X46"/>
      <c r="Y46"/>
      <c r="Z46"/>
      <c r="AA46"/>
    </row>
    <row r="47" spans="2:27" ht="18.75">
      <c r="B47" s="92" t="str">
        <f>IF(AND($B$46&gt;=-150,$B$46&lt;=-135),"0",IF(AND($B$46&gt;-135,$B$46&lt;=-120),"1",IF(AND($B$46&gt;-120,$B$46&lt;=-105),"2",IF(AND($B$46&gt;-105,$B$46&lt;=-90),"3",IF(AND($B$46&gt;-90,$B$46&lt;=-75),"4",IF(AND($B$46&gt;-75,$B$46&lt;=-60),"5",IF(AND($B$46&gt;-60,$B$46&lt;=-45),"6",IF(AND($B$46&gt;-45,$B$46&lt;=-30),"7",IF(AND($B$46&gt;-30,$B$46&lt;=-15),"8",IF(AND($B$46&gt;-15,$B$46&lt;0),"9",IF(AND($B$46&gt;=0,$B$46&lt;15),"0",IF(AND($B$46&gt;=15,$B$46&lt;30),"1",IF(AND($B$46&gt;=30,$B$46&lt;45),"2",IF(AND($B$46&gt;=45,$B$46&lt;60),"3",IF(AND($B$46&gt;=60,$B$46&lt;75),"4",IF(AND($B$46&gt;=75,$B$46&lt;90),"5",IF(AND($B$46&gt;=90,$B$46&lt;105),"6",IF(AND($B$46&gt;=105,$B$46&lt;120),"7",IF(AND($B$46&gt;=120,$B$46&lt;135),"8",IF(AND($B$46&gt;135,$B$46&lt;=150),"9",))))))))))))))))))))</f>
        <v>5</v>
      </c>
      <c r="C47" s="57" t="s">
        <v>203</v>
      </c>
      <c r="D47" s="55" t="s">
        <v>203</v>
      </c>
      <c r="E47" s="103" t="str">
        <f>IF(AND(E$46&gt;=-150000,E$46&lt;=-135000),"0",IF(AND(E$46&gt;-135000,E$46&lt;=-120000),"1",IF(AND(E$46&gt;-120000,E$46&lt;=-105000),"2",IF(AND(E$46&gt;-105000,E$46&lt;=-90000),"3",IF(AND(E$46&gt;-90000,E$46&lt;=-75000),"4",IF(AND(E$46&gt;-75000,E$46&lt;=-60000),"5",IF(AND(E$46&gt;-60000,E$46&lt;=-45000),"6",IF(AND(E$46&gt;-45000,E$46&lt;=-30000),"7",IF(AND(E$46&gt;-30000,E$46&lt;=-15000),"8",IF(AND(E$46&gt;-15000,E$46&lt;0),"9",IF(AND(E$46&gt;=0,E$46&lt;15000),"0",IF(AND(E$46&gt;=15000,E$46&lt;30000),"1",IF(AND(E$46&gt;=30000,E$46&lt;45000),"2",IF(AND(E$46&gt;=45000,E$46&lt;60000),"3",IF(AND(E$46&gt;=60000,E$46&lt;75000),"4",IF(AND(E$46&gt;=75000,$E$46&lt;90000),"5",IF(AND(E$46&gt;=90000,E$46&lt;105000),"6",IF(AND(E$46&gt;=105000,E$46&lt;120000),"7",IF(AND(E$46&gt;=120000,E$46&lt;135000),"8",IF(AND(E$46&gt;135000,E$46&lt;=150000),"9",))))))))))))))))))))</f>
        <v>5</v>
      </c>
      <c r="F47" s="71"/>
      <c r="X47"/>
      <c r="Y47"/>
      <c r="Z47"/>
      <c r="AA47"/>
    </row>
    <row r="48" spans="2:27">
      <c r="B48" s="97" t="str">
        <f>IF(AND($B$46&gt;=-150,$B$46&lt;=-135),"-135",IF(AND($B$46&gt;-135,$B$46&lt;=-120),"-120",IF(AND($B$46&gt;-120,$B$46&lt;=-105),"-105",IF(AND($B$46&gt;-105,$B$46&lt;=-90),"-90",IF(AND($B$46&gt;-90,$B$46&lt;=-75),"-75",IF(AND($B$46&gt;-75,$B$46&lt;=-60),"-60",IF(AND($B$46&gt;-60,$B$46&lt;=-45),"-45",IF(AND($B$46&gt;-45,$B$46&lt;=-30),"-30",IF(AND($B$46&gt;-30,$B$46&lt;=-15),"-15",IF(AND($B$46&gt;-15,$B$46&lt;0),"0",IF(AND($B$46&gt;=0,$B$46&lt;15),"0",IF(AND($B$46&gt;=15,$B$46&lt;30),"15",IF(AND($B$46&gt;=30,$B$46&lt;45),"30",IF(AND($B$46&gt;=45,$B$46&lt;60),"45",IF(AND($B$46&gt;=60,$B$46&lt;75),"60",IF(AND($B$46&gt;=75,$B$46&lt;90),"75",IF(AND($B$46&gt;=90,$B$46&lt;105),"90",IF(AND($B$46&gt;=105,$B$46&lt;120),"105",IF(AND($B$46&gt;=120,$B$46&lt;135),"120",IF(AND($B$46&gt;135,$B$46&lt;=3150),"135",))))))))))))))))))))</f>
        <v>75</v>
      </c>
      <c r="C48" s="57" t="s">
        <v>15</v>
      </c>
      <c r="D48" s="55" t="s">
        <v>15</v>
      </c>
      <c r="E48" s="107" t="str">
        <f>IF(AND(E$46&gt;=-150000,E$46&lt;=-135000),"-135000",IF(AND(E$46&gt;-135000,E$46&lt;=-120000),"-120000",IF(AND(E$46&gt;-120000,E$46&lt;=-105000),"-105000",IF(AND(E$46&gt;-105000,E$46&lt;=-90000),"-900000",IF(AND(E$46&gt;-90000,E$46&lt;=-75000),"-75000",IF(AND(E$46&gt;-75000,E$46&lt;=-60000),"-60000",IF(AND(E$46&gt;-60000,E$46&lt;=-45000),"-45000",IF(AND(E$46&gt;-45000,E$46&lt;=-30000),"-30000",IF(AND(E$46&gt;-30000,E$46&lt;=-15000),"-15000",IF(AND(E$46&gt;-15000,E$46&lt;0),"0",IF(AND(E$46&gt;=0,E$46&lt;15000),"0",IF(AND(E$46&gt;=15000,E$46&lt;30000),"15000",IF(AND(E$46&gt;=30000,E$46&lt;45000),"30000",IF(AND(E$46&gt;=45000,E$46&lt;60000),"45000",IF(AND(E$46&gt;=60000,E$46&lt;75000),"60000",IF(AND(E$46&gt;=75000,$E$46&lt;90000),"75000",IF(AND(E$46&gt;=90000,E$46&lt;105000),"90000",IF(AND(E$46&gt;=105000,E$46&lt;120000),"105000",IF(AND(E$46&gt;=120000,E$46&lt;135000),"120000",IF(AND(E$46&gt;135000,E$46&lt;=150000),"135000",))))))))))))))))))))</f>
        <v>75000</v>
      </c>
      <c r="F48" s="117">
        <f>(E$37+E$40+E$44+E$48)/3600000</f>
        <v>34.0625</v>
      </c>
      <c r="X48"/>
      <c r="Y48"/>
      <c r="Z48"/>
      <c r="AA48"/>
    </row>
    <row r="49" spans="2:27">
      <c r="B49" s="55">
        <f>B46-B48</f>
        <v>10.367999999991184</v>
      </c>
      <c r="C49" s="57" t="s">
        <v>14</v>
      </c>
      <c r="D49" s="55" t="s">
        <v>32</v>
      </c>
      <c r="E49" s="105">
        <f>E46-E48</f>
        <v>10367.999999985099</v>
      </c>
      <c r="F49" s="71"/>
      <c r="X49"/>
      <c r="Y49"/>
      <c r="Z49"/>
      <c r="AA49"/>
    </row>
    <row r="50" spans="2:27" ht="18.75">
      <c r="B50" s="92" t="str">
        <f>IF(AND($B$49&gt;=-15,$B$49&lt;=-14.375),"a",IF(AND($B$49&gt;-14.375,$B$49&lt;=-13.75),"b",IF(AND($B$49&gt;-13.75,$B$49&lt;=-13.125),"c",IF(AND($B$49&gt;-13.125,$B$49&lt;=-12.5),"d",IF(AND($B$49&gt;-12.5,$B$49&lt;=-11.875),"e",IF(AND($B$49&gt;-11.875,$B$49&lt;=-11.25),"f",IF(AND($B$49&gt;-11.25,$B$49&lt;=-10.625),"g",IF(AND($B$49&gt;-10.625,$B$49&lt;=-10),"h",IF(AND($B$49&gt;-10,$B$49&lt;=-9.375),"i",IF(AND($B$49&gt;-9.375,$B$49&lt;=-8.75),"j",IF(AND($B$49&gt;-8.75,$B$49&lt;=-8.125),"k",IF(AND($B$49&gt;-8.125,$B$49&lt;=-7.5),"l",IF(AND($B$49&gt;-7.5,$B$49&lt;=-6.875),"m",IF(AND($B$49&gt;-6.875,$B$49&lt;=-6.25),"n",IF(AND($B$49&gt;-6.25,$B$49&lt;=-5.625),"o",IF(AND($B$49&gt;-5.625,$B$49&lt;=-5),"p",IF(AND($B$49&gt;-5,$B$49&lt;=-4.375),"q",IF(AND($B$49&gt;-4.375,$B$49&lt;=-3.75),"r",IF(AND($B$49&gt;-3.75,$B$49&lt;=-3.125),"s",IF(AND($B$49&gt;-3.125,$B$49&lt;=-2.5),"t",IF(AND($B$49&gt;-2.5,$B$49&lt;=-1.875),"u",IF(AND($B$49&gt;-1.875,$B$49&lt;=-1.25),"v",IF(AND($B$49&gt;-1.25,$B$49&lt;=-0.625),"w",IF(AND($B$49&gt;-0.625,$B$49&lt;=0),"x",IF(AND($B$49&gt;0,$B$49&lt;0.625),"a",IF(AND($B$49&gt;=0.625,$B$49&lt;1.25),"b",IF(AND($B$49&gt;=1.25,$B$49&lt;1.875),"c",IF(AND($B$49&gt;=1.875,$B$49&lt;2.5),"d",IF(AND($B$49&gt;=2.5,$B$49&lt;3.125),"e",IF(AND($B$49&gt;=3.125,$B$49&lt;3.75),"f",IF(AND($B$49&gt;=3.75,$B$49&lt;4.375),"g",IF(AND($B$49&gt;=4.375,$B$49&lt;5),"h",IF(AND($B$49&gt;=5,$B$49&lt;5.625),"i",IF(AND($B$49&gt;=5.625,$B$49&lt;6.25),"j",IF(AND($B$49&gt;=6.25,$B$49&lt;6.875),"k",IF(AND($B$49&gt;=6.875,$B$49&lt;7.5),"l",IF(AND($B$49&gt;=7.5,$B$49&lt;8.125),"m",IF(AND($B$49&gt;=8.125,$B$49&lt;8.75),"n",IF(AND($B$49&gt;=8.75,$B$49&lt;9.375),"o",IF(AND($B$49&gt;=9.375,$B$49&lt;10),"p",IF(AND($B$49&gt;=10,$B$49&lt;10.625),"q",IF(AND($B$49&gt;=10.625,$B$49&lt;11.25),"r",IF(AND($B$49&gt;=11.25,$B$49&lt;11.875),"s",IF(AND($B$49&gt;=11.875,$B$49&lt;12.5),"t",IF(AND($B$49&gt;=12.5,$B$49&lt;13.125),"u",IF(AND($B$49&gt;=13.125,$B$49&lt;13.75),"v",IF(AND($B$49&gt;=13.75,$B$49&lt;14.375),"w",IF(AND($B$49&gt;=14.375,$B$49&lt;=15),"x",))))))))))))))))))))))))))))))))))))))))))))))))</f>
        <v>q</v>
      </c>
      <c r="C50" s="57" t="s">
        <v>204</v>
      </c>
      <c r="D50" s="55" t="s">
        <v>204</v>
      </c>
      <c r="E50" s="103" t="str">
        <f>IF(AND(E$49&gt;=-15000,E$49&lt;=-14375),"a",IF(AND(E$49&gt;-14375,E$49&lt;=-13750),"b",IF(AND(E$49&gt;-13750,E$49&lt;=-13125),"c",IF(AND(E$49&gt;-13125,E$49&lt;=-12500),"d",IF(AND(E$49&gt;-12500,E$49&lt;=-11875),"e",IF(AND(E$49&gt;-11875,E$49&lt;=-11250),"f",IF(AND(E$49&gt;-11250,E$49&lt;=-10625),"g",IF(AND(E$49&gt;-10625,E$49&lt;=-10000),"h",IF(AND(E$49&gt;-10000,E$49&lt;=-9375),"i",IF(AND(E$49&gt;-9375,E$49&lt;=-8750),"j",IF(AND(E$49&gt;-8750,E$49&lt;=-8125),"k",IF(AND(E$49&gt;-8125,E$49&lt;=-7500),"l",IF(AND(E$49&gt;-7500,E$49&lt;=-6875),"m",IF(AND(E$49&gt;-6875,E$49&lt;=-6250),"n",IF(AND(E$49&gt;-6250,E$49&lt;=-5625),"o",IF(AND(E$49&gt;-5625,E$49&lt;=-5000),"p",IF(AND(E$49&gt;-5000,E$49&lt;=-4375),"q",IF(AND(E$49&gt;-4375,E$49&lt;=-3750),"r",IF(AND(E$49&gt;-3750,E$49&lt;=-3125),"s",IF(AND(E$49&gt;-3125,E$49&lt;=-2500),"t",IF(AND(E$49&gt;-2500,E$49&lt;=-1875),"u",IF(AND(E$49&gt;-1875,E$49&lt;=-1250),"v",IF(AND(E$49&gt;-1250,E$49&lt;=-625),"w",IF(AND(E$49&gt;-625,E$49&lt;=0),"x",IF(AND(E$49&gt;0,E$49&lt;625),"a",IF(AND(E$49&gt;=625,E$49&lt;1250),"b",IF(AND(E$49&gt;=1250,E$49&lt;1875),"c",IF(AND(E$49&gt;=1875,E$49&lt;2500),"d",IF(AND(E$49&gt;=2500,E$49&lt;3125),"e",IF(AND(E$49&gt;=3125,E$49&lt;3750),"f",IF(AND(E$49&gt;=3750,E$49&lt;4375),"g",IF(AND(E$49&gt;=4375,E$49&lt;5000),"h",IF(AND(E$49&gt;=5000,E$49&lt;5625),"i",IF(AND(E$49&gt;=5625,E$49&lt;6250),"j",IF(AND(E$49&gt;=6250,E$49&lt;6875),"k",IF(AND(E$49&gt;=6875,E$49&lt;7500),"l",IF(AND(E$49&gt;=7500,E$49&lt;8125),"m",IF(AND(E$49&gt;=8125,E$49&lt;8750),"n",IF(AND(E$49&gt;=8750,E$49&lt;9375),"o",IF(AND(E$49&gt;=9375,E$49&lt;10000),"p",IF(AND(E$49&gt;=10000,E$49&lt;10625),"q",IF(AND(E$49&gt;=10625,E$49&lt;11250),"r",IF(AND(E$49&gt;=11250,E$49&lt;11875),"s",IF(AND(E$49&gt;=11875,E$49&lt;12500),"t",IF(AND(E$49&gt;=12500,E$49&lt;13125),"u",IF(AND(E$49&gt;=13125,E$49&lt;13750),"v",IF(AND(E$49&gt;=13750,E$49&lt;14375),"w",IF(AND(E$49&gt;=14375,E$49&lt;=15000),"x",))))))))))))))))))))))))))))))))))))))))))))))))</f>
        <v>q</v>
      </c>
      <c r="F50" s="71"/>
      <c r="X50"/>
      <c r="Y50"/>
      <c r="Z50"/>
      <c r="AA50"/>
    </row>
    <row r="51" spans="2:27">
      <c r="B51" s="97" t="str">
        <f>IF(AND($B$49&gt;=-15,$B$49&lt;=-14.375),"-14.375",IF(AND($B$49&gt;-14.375,$B$49&lt;=-13.75),"-13.75",IF(AND($B$49&gt;-13.75,$B$49&lt;=-13.125),"-13.125",IF(AND($B$49&gt;-13.125,$B$49&lt;=-12.5),"-12.5",IF(AND($B$49&gt;-12.5,$B$49&lt;=-11.875),"-11.875",IF(AND($B$49&gt;-11.875,$B$49&lt;=-11.25),"-11.25",IF(AND($B$49&gt;-11.25,$B$49&lt;=-10.625),"-10.625",IF(AND($B$49&gt;-10.625,$B$49&lt;=-10),"-10",IF(AND($B$49&gt;-10,$B$49&lt;=-9.375),"-9.375",IF(AND($B$49&gt;-9.375,$B$49&lt;=-8.75),"-8.75",IF(AND($B$49&gt;-8.75,$B$49&lt;=-8.125),"-8.125",IF(AND($B$49&gt;-8.125,$B$49&lt;=-7.5),"-7.5",IF(AND($B$49&gt;-7.5,$B$49&lt;=-6.875),"-6.875",IF(AND($B$49&gt;-6.875,$B$49&lt;=-6.25),"-6.25",IF(AND($B$49&gt;-6.25,$B$49&lt;=-5.625),"-5.625",IF(AND($B$49&gt;-5.625,$B$49&lt;=-5),"-5",IF(AND($B$49&gt;-5,$B$49&lt;=-4.375),"-4.375",IF(AND($B$49&gt;-4.375,$B$49&lt;=-3.75),"-3.75",IF(AND($B$49&gt;-3.75,$B$49&lt;=-3.125),"-3.125",IF(AND($B$49&gt;-3.125,$B$49&lt;=-2.5),"-2.5",IF(AND($B$49&gt;-2.5,$B$49&lt;=-1.875),"-1.875",IF(AND($B$49&gt;-1.875,$B$49&lt;=-1.25),"-1.25",IF(AND($B$49&gt;-1.25,$B$49&lt;=-0.625),"-0.625",IF(AND($B$49&gt;-0.625,$B$49&lt;=0),"0",IF(AND($B$49&gt;0,$B$49&lt;0.625),"0",IF(AND($B$49&gt;=0.625,$B$49&lt;1.25),"0.625",IF(AND($B$49&gt;=1.25,$B$49&lt;1.875),"1.25",IF(AND($B$49&gt;=1.875,$B$49&lt;2.5),"1.875",IF(AND($B$49&gt;=2.5,$B$49&lt;3.125),"2.5",IF(AND($B$49&gt;=3.125,$B$49&lt;3.75),"3.125",IF(AND($B$49&gt;=3.75,$B$49&lt;4.375),"3.75",IF(AND($B$49&gt;=4.375,$B$49&lt;5),"4.375",IF(AND($B$49&gt;=5,$B$49&lt;5.625),"5",IF(AND($B$49&gt;=5.625,$B$49&lt;6.25),"5.625",IF(AND($B$49&gt;=6.25,$B$49&lt;6.875),"6.25",IF(AND($B$49&gt;=6.875,$B$49&lt;7.5),"6.875",IF(AND($B$49&gt;=7.5,$B$49&lt;8.125),"7.5",IF(AND($B$49&gt;=8.125,$B$49&lt;8.75),"8.125",IF(AND($B$49&gt;=8.75,$B$49&lt;9.375),"8.75",IF(AND($B$49&gt;=9.375,$B$49&lt;10),"9.375",IF(AND($B$49&gt;=10,$B$49&lt;10.625),"10",IF(AND($B$49&gt;=10.625,$B$49&lt;11.25),"10.625",IF(AND($B$49&gt;=11.25,$B$49&lt;11.875),"11.25",IF(AND($B$49&gt;=11.875,$B$49&lt;12.5),"11.875",IF(AND($B$49&gt;=12.5,$B$49&lt;13.125),"12.5",IF(AND($B$49&gt;=13.125,$B$49&lt;13.75),"13.125",IF(AND($B$49&gt;=13.75,$B$49&lt;14.375),"13.75",IF(AND($B$49&gt;=14.375,$B$19&lt;=15),"14.375",))))))))))))))))))))))))))))))))))))))))))))))))</f>
        <v>10</v>
      </c>
      <c r="C51" s="57" t="s">
        <v>16</v>
      </c>
      <c r="D51" s="55" t="s">
        <v>16</v>
      </c>
      <c r="E51" s="107" t="str">
        <f>IF(AND(E$49&gt;=-15000,E$49&lt;=-14375),"-14375",IF(AND(E$49&gt;-14375,E$49&lt;=-13750),"-13750",IF(AND(E$49&gt;-13750,E$49&lt;=-13125),"-13125",IF(AND(E$49&gt;-13125,E$49&lt;=-12500),"-12500",IF(AND(E$49&gt;-12500,E$49&lt;=-11875),"-11875",IF(AND(E$49&gt;-11875,E$49&lt;=-11250),"-11250",IF(AND(E$49&gt;-11250,E$49&lt;=-10625),"-10625",IF(AND(E$49&gt;-10625,E$49&lt;=-10000),"-10000",IF(AND(E$49&gt;-10000,E$49&lt;=-9375),"-9375",IF(AND(E$49&gt;-9375,E$49&lt;=-8750),"-8750",IF(AND(E$49&gt;-8750,E$49&lt;=-8125),"-8125",IF(AND(E$49&gt;-8125,E$49&lt;=-7500),"-7500",IF(AND(E$49&gt;-7500,E$49&lt;=-6875),"-6875",IF(AND(E$49&gt;-6875,E$49&lt;=-6250),"-6250",IF(AND(E$49&gt;-6250,E$49&lt;=-5625),"-5625",IF(AND(E$49&gt;-5625,E$49&lt;=-5000),"-5000",IF(AND(E$49&gt;-5000,E$49&lt;=-4375),"-4375",IF(AND(E$49&gt;-4375,E$49&lt;=-3750),"-3750",IF(AND(E$49&gt;-3750,E$49&lt;=-3125),"-3125",IF(AND(E$49&gt;-3125,E$49&lt;=-2500),"-2500",IF(AND(E$49&gt;-2500,E$49&lt;=-1875),"-1875",IF(AND(E$49&gt;-1875,E$49&lt;=-1250),"-1250",IF(AND(E$49&gt;-1250,E$49&lt;=-625),"-625",IF(AND(E$49&gt;-625,E$49&lt;=0),"0",IF(AND(E$49&gt;0,E$49&lt;625),"0",IF(AND(E$49&gt;=625,E$49&lt;1250),"625",IF(AND(E$49&gt;=1250,E$49&lt;1875),"1250",IF(AND(E$49&gt;=1875,E$49&lt;2500),"1875",IF(AND(E$49&gt;=2500,E$49&lt;3125),"2500",IF(AND(E$49&gt;=3125,E$49&lt;3750),"3125",IF(AND(E$49&gt;=3750,E$49&lt;4375),"3750",IF(AND(E$49&gt;=4375,E$49&lt;5000),"4375",IF(AND(E$49&gt;=5000,E$49&lt;5625),"5000",IF(AND(E$49&gt;=5625,E$49&lt;6250),"5625",IF(AND(E$49&gt;=6250,E$49&lt;6875),"6250",IF(AND(E$49&gt;=6875,E$49&lt;7500),"6875",IF(AND(E$49&gt;=7500,E$49&lt;8125),"7500",IF(AND(E$49&gt;=8125,E$49&lt;8750),"8125",IF(AND(E$49&gt;=8750,E$49&lt;9375),"8750",IF(AND(E$49&gt;=9375,E$49&lt;10000),"9375",IF(AND(E$49&gt;=10000,E$49&lt;10625),"10000",IF(AND(E$49&gt;=10625,E$49&lt;11250),"10625",IF(AND(E$49&gt;=11250,E$49&lt;11875),"11250",IF(AND(E$49&gt;=11875,E$49&lt;12500),"11875",IF(AND(E$49&gt;=12500,E$49&lt;13125),"12500",IF(AND(E$49&gt;=13125,E$49&lt;13750),"13125",IF(AND(E$49&gt;=13750,E$49&lt;14375),"13750",IF(AND(E$49&gt;=14375,E$49&lt;=15000),"14375",))))))))))))))))))))))))))))))))))))))))))))))))</f>
        <v>10000</v>
      </c>
      <c r="F51" s="117">
        <f>(E$37+E$40+E$44+E$48+E$51)/3600000</f>
        <v>34.06527777777778</v>
      </c>
      <c r="X51"/>
      <c r="Y51"/>
      <c r="Z51"/>
      <c r="AA51"/>
    </row>
    <row r="52" spans="2:27">
      <c r="B52" s="55">
        <f>B49-B51</f>
        <v>0.36799999999118427</v>
      </c>
      <c r="C52" s="57" t="s">
        <v>14</v>
      </c>
      <c r="D52" s="55" t="s">
        <v>32</v>
      </c>
      <c r="E52" s="105">
        <f>E49-E51</f>
        <v>367.99999998509884</v>
      </c>
      <c r="F52" s="71"/>
      <c r="Y52"/>
      <c r="Z52"/>
      <c r="AA52"/>
    </row>
    <row r="53" spans="2:27" ht="18.75">
      <c r="B53" s="92" t="str">
        <f>IF(AND($B$52&gt;=-0.625,$B$52&lt;=-0.5625),"0",IF(AND($B$52&gt;-0.5625,$B$52&lt;=-0.5),"1",IF(AND($B$52&gt;-0.5,$B$52&lt;=-0.4375),"2",IF(AND($B$52&gt;-0.4375,$B$52&lt;=-0.375),"3",IF(AND($B$52&gt;-0.375,$B$52&lt;=-0.3125),"4",IF(AND($B$52&gt;-0.3125,$B$52&lt;=-0.25),"5",IF(AND($B$52&gt;-0.25,$B$52&lt;=-0.1875),"6",IF(AND($B$52&gt;-0.1875,$B$52&lt;=-0.125),"7",IF(AND($B$52&gt;-0.125,$B$52&lt;=-0.0625),"8",IF(AND($B$52&gt;-0.0625,$B$52&lt;=0),"9",IF(AND($B$52&gt;0,$B$52&lt;0.0625),"0",IF(AND($B$52&gt;=0.0625,$B$52&lt;0.125),"1",IF(AND($B$52&gt;=0.125,$B$52&lt;0.1875),"2",IF(AND($B$52&gt;=0.1875,$B$52&lt;0.25),"3",IF(AND($B$52&gt;=0.25,$B$52&lt;0.3125),"4",IF(AND($B$52&gt;=0.3125,$B$52&lt;0.375),"5",IF(AND($B$52&gt;=0.375,$B$52&lt;0.4375),"6",IF(AND($B$52&gt;=0.4375,$B$52&lt;0.5),"7",IF(AND($B$52&gt;=0.5,$B$52&lt;0.5625),"8",IF(AND($B$52&gt;=0.5625,$B$52&lt;=0.625),"9",))))))))))))))))))))</f>
        <v>5</v>
      </c>
      <c r="C53" s="57" t="s">
        <v>205</v>
      </c>
      <c r="D53" s="55" t="s">
        <v>205</v>
      </c>
      <c r="E53" s="103" t="str">
        <f>IF(AND(E$52&gt;=-625,E$52&lt;=-562.5),"0",IF(AND(E$52&gt;-562.5,E$52&lt;=-500),"1",IF(AND(E$52&gt;-500,E$52&lt;=-437.5),"2",IF(AND(E$52&gt;-437.5,E$52&lt;=-375),"3",IF(AND(E$52&gt;-375,E$52&lt;=-312.5),"4",IF(AND(E$52&gt;-312.5,E$52&lt;=-250),"5",IF(AND(E$52&gt;-250,E$52&lt;=-187.5),"6",IF(AND(E$52&gt;-187.5,E$52&lt;=-125),"7",IF(AND(E$52&gt;-125,E$52&lt;=-62.5),"8",IF(AND(E$52&gt;-62.5,E$52&lt;=0),"9",IF(AND(E$52&gt;0,E$52&lt;62.5),"0",IF(AND(E$52&gt;=62.5,E$52&lt;125),"1",IF(AND(E$52&gt;=125,E$52&lt;187.5),"2",IF(AND(E$52&gt;=187.5,E$52&lt;250),"3",IF(AND(E$52&gt;=250,E$52&lt;312.5),"4",IF(AND(E$52&gt;=312.5,E$52&lt;375),"5",IF(AND(E$52&gt;=375,E$52&lt;437.5),"6",IF(AND(E$52&gt;=437.5,E$52&lt;500),"7",IF(AND(E$52&gt;=500,E$52&lt;562.5),"8",IF(AND(E$52&gt;=562.5,E$52&lt;=625),"9",))))))))))))))))))))</f>
        <v>5</v>
      </c>
      <c r="F53" s="71"/>
      <c r="AA53"/>
    </row>
    <row r="54" spans="2:27">
      <c r="B54" s="97" t="str">
        <f>IF(AND($B$52&gt;=-0.625,$B$52&lt;=-0.5625),"-0.625",IF(AND($B$52&gt;-0.5625,$B$52&lt;=-0.5),"-0.5625",IF(AND($B$52&gt;-0.5,$B$52&lt;=-0.4375),"-0.5",IF(AND($B$52&gt;-0.4375,$B$52&lt;=-0.375),"-0.4375",IF(AND($B$52&gt;-0.375,$B$52&lt;=-0.3125),"-0.375",IF(AND($B$52&gt;-0.3125,$B$52&lt;=-0.25),"-0.3125",IF(AND($B$52&gt;-0.25,$B$52&lt;=-0.1875),"-0.25",IF(AND($B$52&gt;-0.1875,$B$52&lt;=-0.125),"-0.1875",IF(AND($B$52&gt;-0.125,$B$52&lt;=-0.0625),"-0.125",IF(AND($B$52&gt;-0.0625,$B$52&lt;=0),"-0.0625",IF(AND($B$52&gt;0,$B$52&lt;0.0625),"0",IF(AND($B$52&gt;=0.0625,$B$52&lt;0.125),"0",IF(AND($B$52&gt;=0.125,$B$52&lt;0.1875),"0.125",IF(AND($B$52&gt;=0.1875,$B$52&lt;0.25),"0.1875",IF(AND($B$52&gt;=0.25,$B$52&lt;0.3125),"0.25",IF(AND($B$52&gt;=0.3125,$B$52&lt;0.375),"0.3125",IF(AND($B$52&gt;=0.375,$B$52&lt;0.4375),"0.375",IF(AND($B$52&gt;=0.4375,$B$52&lt;0.5),"0.4375",IF(AND($B$52&gt;=0.5,$B$52&lt;0.5625),"0.5",IF(AND($B$52&gt;=0.5625,$B$52&lt;=0.625),"0.5625",))))))))))))))))))))</f>
        <v>0.3125</v>
      </c>
      <c r="C54" s="57" t="s">
        <v>106</v>
      </c>
      <c r="D54" s="55" t="s">
        <v>106</v>
      </c>
      <c r="E54" s="107" t="str">
        <f>IF(AND(E$52&gt;=-625,E$52&lt;=-562.5),"-562.5",IF(AND(E$52&gt;-562.5,E$52&lt;=-500),"-500",IF(AND(E$52&gt;-500,E$52&lt;=-437.5),"-437.5",IF(AND(E$52&gt;-437.5,E$52&lt;=-375),"-375",IF(AND(E$52&gt;-375,E$52&lt;=-312.5),"-312.5",IF(AND(E$52&gt;-312.5,E$52&lt;=-250),"-250",IF(AND(E$52&gt;-250,E$52&lt;=-187.5),"-187.5",IF(AND(E$52&gt;-187.5,E$52&lt;=-125),"-125",IF(AND(E$52&gt;-125,E$52&lt;=-62.5),"-62.5",IF(AND(E$52&gt;-62.5,E$52&lt;=0),"0",IF(AND(E$52&gt;0,E$52&lt;62.5),"0",IF(AND(E$52&gt;=62.5,E$52&lt;125),"62.5",IF(AND(E$52&gt;=125,E$52&lt;187.5),"125",IF(AND(E$52&gt;=187.5,E$52&lt;250),"187.5",IF(AND(E$52&gt;=250,E$52&lt;312.5),"250",IF(AND(E$52&gt;=312.5,E$52&lt;375),"312.5",IF(AND(E$52&gt;=375,E$52&lt;437.5),"375",IF(AND(E$52&gt;=437.5,E$52&lt;500),"437.5",IF(AND(E$52&gt;=500,E$52&lt;562.5),"500",IF(AND(E$52&gt;=562.5,E$52&lt;=625),"562.5",))))))))))))))))))))</f>
        <v>312.5</v>
      </c>
      <c r="F54" s="117">
        <f>(E$37+E$40+E$44+E$48+E$51+E$54)/3600000</f>
        <v>34.065364583333334</v>
      </c>
      <c r="AA54"/>
    </row>
    <row r="55" spans="2:27">
      <c r="B55" s="55">
        <f>B52-B54</f>
        <v>5.5499999991184268E-2</v>
      </c>
      <c r="C55" s="57" t="s">
        <v>14</v>
      </c>
      <c r="D55" s="55" t="s">
        <v>32</v>
      </c>
      <c r="E55" s="108">
        <f>E52-E54</f>
        <v>55.499999985098839</v>
      </c>
      <c r="F55" s="71"/>
      <c r="AA55"/>
    </row>
    <row r="56" spans="2:27" ht="18.75">
      <c r="B56" s="92" t="str">
        <f>IF(AND(B$55&gt;=-0.0625,B$55&lt;=-0.059896),"a",IF(AND(B$55&gt;--0.059896,B$55&lt;=--0.05729),"b",IF(AND(B$55&gt;-0.05729,B$55&lt;=-0.05469),"c",IF(AND(B$55&gt;-0.054695,B$55&lt;=-0.05208),"d",IF(AND(B$55&gt;-0.05208,B$55&lt;=-0.04948),"e",IF(AND(B$55&gt;-0.04948,B$55&lt;=-0.04688),"f",IF(AND(B$55&gt;-0.04688,B$55&lt;=-0.4427),"g",IF(AND(B$55&gt;-0.4427,B$55&lt;=-0.04167),"h",IF(AND(B$55&gt;-0.04167,B$55&lt;=-0.03906),"i",IF(AND(B$55&gt;-0.03906,B$55&lt;=-0.03646),"j",IF(AND(B$55&gt;-0.03646,B$55&lt;=-0.03385),"k",IF(AND(B$55&gt;-0.3385,B$55&lt;=-0.03125),"l",IF(AND(B$55&gt;-0.03125,B$55&lt;=-0.02865),"m",IF(AND(B$55&gt;-0.2865,B$55&lt;=-0.02604),"n",IF(AND(B$55&gt;-0.02604,B$55&lt;=-0.02344),"o",IF(AND(B$55&gt;-0.02344,B$55&lt;=-0.02083),"p",IF(AND(B$55&gt;-0.02083,B$55&lt;=-0.01823),"q",IF(AND(B$55&gt;-0.01823,B$55&lt;=-0.01563),"r",IF(AND(B$55&gt;-0.01563,B$55&lt;=-0.01302),"s",IF(AND(B$55&gt;-0.01302,B$55&lt;=-0.01042),"t",IF(AND(B$55&gt;-0.01042,B$55&lt;=-0.007813),"u",IF(AND(B$55&gt;-0.007813,B$55&lt;=-0.005208),"v",IF(AND(B$55&gt;-0.005208,B$55&lt;=-0.002604),"w",IF(AND(B$55&gt;-0.002604,B$55&lt;=0),"x",IF(AND(B$55&gt;0,B$55&lt;0.002604),"a",IF(AND(B$55&gt;=0.002604,B$55&lt;0.005208),"b",IF(AND(B$55&gt;=0.005208,B$55&lt;0.007813),"c",IF(AND(B$55&gt;=0.007813,B$55&lt;0.01042),"d",IF(AND(B$55&gt;=0.01042,B$55&lt;0.01302),"e",IF(AND(B$55&gt;=0.01302,B$55&lt;0.01563),"f",IF(AND(B$55&gt;=0.01563,B$55&lt;0.01823),"g",IF(AND(B$55&gt;=0.01823,B$55&lt;0.02083),"h",IF(AND(B$55&gt;=0.02083,B$55&lt;0.02344),"i",IF(AND(B$55&gt;=0.02344,B$55&lt;0.02604),"j",IF(AND(B$55&gt;=0.02604,B$55&lt;0.02865),"k",IF(AND(B$55&gt;=0.02865,B$55&lt;0.03125),"l",IF(AND(B$55&gt;=0.03125,B$55&lt;0.03385),"m",IF(AND(B$55&gt;=0.03385,B$55&lt;0.03646),"n",IF(AND(B$55&gt;=0.03646,B$55&lt;0.03906),"o",IF(AND(B$55&gt;=0.03906,B$55&lt;0.04167),"p",IF(AND(B$55&gt;=0.04167,B$55&lt;0.04427),"q",IF(AND(B$55&gt;=0.04427,B$55&lt;0.04688),"r",IF(AND(B$55&gt;=0.04688,B$55&lt;0.049479),"s",IF(AND(B$55&gt;=0.049479,B$55&lt;0.05208),"t",IF(AND(B$55&gt;=0.05208,B$55&lt;0.05469),"u",IF(AND(B$55&gt;=0.05469,B$55&lt;0.05729),"v",IF(AND(B$55&gt;=0.05729,B$55&lt;0.059895),"w",IF(AND(B$55&gt;=0.059895,B$55&lt;=0.0625),"x",))))))))))))))))))))))))))))))))))))))))))))))))</f>
        <v>v</v>
      </c>
      <c r="C56" s="57" t="s">
        <v>206</v>
      </c>
      <c r="D56" s="55" t="s">
        <v>206</v>
      </c>
      <c r="E56" s="103" t="str">
        <f>IF(AND(E$55&gt;=-62.5,E$55&lt;=-59.896),"a",IF(AND(E$55&gt;-59.896,E$55&lt;=-57.29),"b",IF(AND(E$55&gt;-57.29,E$55&lt;=-54.695),"c",IF(AND(E$55&gt;-54.695,E$55&lt;=-52.08),"d",IF(AND(E$55&gt;-52.08,E$55&lt;=-49.48),"e",IF(AND(E$55&gt;-49.48,E$55&lt;=-46.88),"f",IF(AND(E$55&gt;-46.88,E$55&lt;=-44.27),"g",IF(AND(E$55&gt;-44.27,E$55&lt;=-41.67),"h",IF(AND(E$55&gt;-41.67,E$55&lt;=-39.06),"i",IF(AND(E$55&gt;-39.06,E$55&lt;=-36.46),"j",IF(AND(E$55&gt;-36.46,E$55&lt;=-33.85),"k",IF(AND(E$55&gt;-33.85,E$55&lt;=-31.25),"l",IF(AND(E$55&gt;-31.25,E$55&lt;=-28.65),"m",IF(AND(E$55&gt;-28.65,E$55&lt;=-26.04),"n",IF(AND(E$55&gt;-26.04,E$55&lt;=-23.44),"o",IF(AND(E$55&gt;-23.44,E$55&lt;=-20.83),"p",IF(AND(E$55&gt;-20.83,E$55&lt;=-18.23),"q",IF(AND(E$55&gt;-18.23,E$55&lt;=-15.63),"r",IF(AND(E$55&gt;-15.63,E$55&lt;=-13.02),"s",IF(AND(E$55&gt;-13.02,E$55&lt;=-10.42),"t",IF(AND(E$55&gt;-10.42,E$55&lt;=-7.813),"u",IF(AND(E$55&gt;-7.813,E$55&lt;=-5.208),"v",IF(AND(E$55&gt;-5.208,E$55&lt;=-2.604),"w",IF(AND(E$55&gt;-2.604,E$55&lt;=0),"x",IF(AND(E$55&gt;0,E$55&lt;2.604),"a",IF(AND(E$55&gt;=2.604,E$55&lt;5.208),"b",IF(AND(E$55&gt;=5.208,E$55&lt;7.813),"c",IF(AND(E$55&gt;=7.813,E$55&lt;10.42),"d",IF(AND(E$55&gt;=10.42,E$55&lt;13.02),"e",IF(AND(E$55&gt;=13.02,E$55&lt;15.63),"f",IF(AND(E$55&gt;=15.63,E$55&lt;18.23),"g",IF(AND(E$55&gt;=18.23,E$55&lt;20.83),"h",IF(AND(E$55&gt;=20.83,E$55&lt;23.44),"i",IF(AND(E$55&gt;=23.44,E$55&lt;26.04),"j",IF(AND(E$55&gt;=26.04,E$55&lt;28.65),"k",IF(AND(E$55&gt;=28.65,E$55&lt;31.25),"l",IF(AND(E$55&gt;=31.25,E$55&lt;33.85),"m",IF(AND(E$55&gt;=33.85,E$55&lt;36.46),"n",IF(AND(E$55&gt;=36.46,E$55&lt;39.06),"o",IF(AND(E$55&gt;=39.06,E$55&lt;41.67),"p",IF(AND(E$55&gt;=41.67,E$55&lt;44.27),"q",IF(AND(E$55&gt;=44.27,E$55&lt;46.88),"r",IF(AND(E$55&gt;=46.88,E$55&lt;49.479),"s",IF(AND(E$55&gt;=49.479,E$55&lt;52.08),"t",IF(AND(E$55&gt;=52.08,E$55&lt;54.69),"u",IF(AND(E$55&gt;=54.69,E$55&lt;57.29),"v",IF(AND(E$55&gt;=57.29,E$55&lt;59.895),"w",IF(AND(E$55&gt;=59.895,E$55&lt;=62.5),"x",))))))))))))))))))))))))))))))))))))))))))))))))</f>
        <v>v</v>
      </c>
      <c r="F56" s="71"/>
      <c r="AA56"/>
    </row>
    <row r="57" spans="2:27">
      <c r="B57" s="97" t="str">
        <f>IF(AND(B$55&gt;=-0.0625,B$55&lt;=-0.059896),"-0.059896",IF(AND(B$55&gt;--0.059896,B$55&lt;=--0.05729),"-0.05729",IF(AND(B$55&gt;-0.05729,B$55&lt;=-0.05469),"-0.05469",IF(AND(B$55&gt;-0.054695,B$55&lt;=-0.05208),"-0.05208",IF(AND(B$55&gt;-0.05208,B$55&lt;=-0.04948),"-0.04948",IF(AND(B$55&gt;-0.04948,B$55&lt;=-0.04688),"-0.04688",IF(AND(B$55&gt;-0.04688,B$55&lt;=-0.04427),"-0.04427",IF(AND(B$55&gt;-0.04427,B$55&lt;=-0.04167),"-0.04167",IF(AND(B$55&gt;-0.04167,B$55&lt;=-0.03906),"-0.03906",IF(AND(B$55&gt;-0.03906,B$55&lt;=-0.03646),"-0.03646",IF(AND(B$55&gt;-0.03646,B$55&lt;=-0.03385),"-0.03385",IF(AND(B$55&gt;-0.3385,B$55&lt;=-0.03125),"-0.03125",IF(AND(B$55&gt;-0.03125,B$55&lt;=-0.02865),"-0.02865",IF(AND(B$55&gt;-0.2865,B$55&lt;=-0.02604),"-0.02604",IF(AND(B$55&gt;-0.02604,B$55&lt;=-0.02344),"-0.02344",IF(AND(B$55&gt;-0.02344,B$55&lt;=-0.02083),"-0.02083",IF(AND(B$55&gt;-0.02083,B$55&lt;=-0.01823),"-0.01823",IF(AND(B$55&gt;-0.01823,B$55&lt;=-0.01563),"-0.01563",IF(AND(B$55&gt;-0.01563,B$55&lt;=-0.01302),"-0.01302",IF(AND(B$55&gt;-0.01302,B$55&lt;=-0.01042),"-0.01042",IF(AND(B$55&gt;-0.01042,B$55&lt;=-0.007813),"-0.007813",IF(AND(B$55&gt;-0.007813,B$55&lt;=-0.005208),"-0.005208",IF(AND(B$55&gt;-0.005208,B$55&lt;=-0.002604),"-0.002604",IF(AND(B$55&gt;-0.002604,B$55&lt;=0),"0",IF(AND(B$55&gt;0,B$55&lt;0.002604),"0",IF(AND(B$55&gt;=0.002604,B$55&lt;0.005208),"0.002604",IF(AND(B$55&gt;=0.005208,B$55&lt;0.007813),"0.005208",IF(AND(B$55&gt;=0.007813,B$55&lt;0.01042),"0.007813",IF(AND(B$55&gt;=0.01042,B$55&lt;0.01302),"0.01042",IF(AND(B$55&gt;=0.01302,B$55&lt;0.01563),"0.01302",IF(AND(B$55&gt;=0.01563,B$55&lt;0.01823),"0.01563",IF(AND(B$55&gt;=0.01823,B$55&lt;0.02083),"0.01823",IF(AND(B$55&gt;=0.02083,B$55&lt;0.02344),"0.02083",IF(AND(B$55&gt;=0.02344,B$55&lt;0.02604),"0.02344",IF(AND(B$55&gt;=0.02604,B$55&lt;0.02865),"0.02604",IF(AND(B$55&gt;=0.02865,B$55&lt;0.03125),"0.02865",IF(AND(B$55&gt;=0.03125,B$55&lt;0.03385),"0.03125",IF(AND(B$55&gt;=0.03385,B$55&lt;0.03646),"0.03385",IF(AND(B$55&gt;=0.03646,B$55&lt;0.03906),"0.03646",IF(AND(B$55&gt;=0.03906,B$55&lt;0.04167),"0.03906",IF(AND(B$55&gt;=0.04167,B$55&lt;0.04427),"0.04167",IF(AND(B$55&gt;=0.04427,B$55&lt;0.04688),"0.04427",IF(AND(B$55&gt;=0.04688,B$55&lt;0.049479),"0.04688",IF(AND(B$55&gt;=0.049479,B$55&lt;0.05208),"0.049479",IF(AND(B$55&gt;=0.05208,B$55&lt;0.05469),"0.05208",IF(AND(B$55&gt;=0.05469,B$55&lt;0.05729),"0.05469",IF(AND(B$55&gt;=0.05729,B$55&lt;0.059895),"0.05729",IF(AND(B$55&gt;=0.059895,B$55&lt;=0.0625),"0.059895",))))))))))))))))))))))))))))))))))))))))))))))))</f>
        <v>0.05469</v>
      </c>
      <c r="C57" s="57" t="s">
        <v>109</v>
      </c>
      <c r="D57" s="55" t="s">
        <v>109</v>
      </c>
      <c r="E57" s="107" t="str">
        <f>IF(AND(E$55&gt;=-62.5,E$55&lt;=-59.896),"-59.896",IF(AND(E$55&gt;-59.896,E$55&lt;=-57.29),"-57.29",IF(AND(E$55&gt;-57.29,E$55&lt;=-54.695),"-54.695",IF(AND(E$55&gt;-54.695,E$55&lt;=-52.08),"-52.08",IF(AND(E$55&gt;-52.08,E$55&lt;=-49.48),"-49.48",IF(AND(E$55&gt;-49.48,E$55&lt;=-46.88),"-46.88",IF(AND(E$55&gt;-46.88,E$55&lt;=-44.27),"-44.27",IF(AND(E$55&gt;-44.27,E$55&lt;=-41.67),"-41.67",IF(AND(E$55&gt;-41.67,E$55&lt;=-39.06),"-39.06",IF(AND(E$55&gt;-39.06,E$55&lt;=-36.46),"-36.46",IF(AND(E$55&gt;-36.46,E$55&lt;=-33.85),"-33.85",IF(AND(E$55&gt;-33.85,E$55&lt;=-31.25),"-31.25",IF(AND(E$55&gt;-31.25,E$55&lt;=-28.65),"-28.65",IF(AND(E$55&gt;-28.65,E$55&lt;=-26.04),"-26.04",IF(AND(E$55&gt;-26.04,E$55&lt;=-23.44),"-23.44",IF(AND(E$55&gt;-23.44,E$55&lt;=-20.83),"-20.83",IF(AND(E$55&gt;-20.83,E$55&lt;=-18.23),"-18.23",IF(AND(E$55&gt;-18.23,E$55&lt;=-15.63),"-15.63",IF(AND(E$55&gt;-15.63,E$55&lt;=-13.02),"-13.02",IF(AND(E$55&gt;-13.02,E$55&lt;=-10.42),"-10.42",IF(AND(E$55&gt;-10.42,E$55&lt;=-7.813),"-7.813",IF(AND(E$55&gt;-7.813,E$55&lt;=-5.208),"-5.208",IF(AND(E$55&gt;-5.208,E$55&lt;=-2.604),"-2.604",IF(AND(E$55&gt;-2.604,E$55&lt;=0),"0",IF(AND(E$55&gt;0,E$55&lt;2.604),"0",IF(AND(E$55&gt;=2.604,E$55&lt;5.208),"2.604",IF(AND(E$55&gt;=5.208,E$55&lt;7.813),"5.208",IF(AND(E$55&gt;=7.813,E$55&lt;10.42),"7.813",IF(AND(E$55&gt;=10.42,E$55&lt;13.02),"10.42",IF(AND(E$55&gt;=13.02,E$55&lt;15.63),"13.02",IF(AND(E$55&gt;=15.63,E$55&lt;18.23),"15.63",IF(AND(E$55&gt;=18.23,E$55&lt;20.83),"18.23",IF(AND(E$55&gt;=20.83,E$55&lt;23.44),"20.83",IF(AND(E$55&gt;=23.44,E$55&lt;26.04),"23.44",IF(AND(E$55&gt;=26.04,E$55&lt;28.65),"26.04",IF(AND(E$55&gt;=28.65,E$55&lt;31.25),"28.65",IF(AND(E$55&gt;=31.25,E$55&lt;33.85),"31.25",IF(AND(E$55&gt;=33.85,E$55&lt;36.46),"33.85",IF(AND(E$55&gt;=36.46,E$55&lt;39.06),"36.46",IF(AND(E$55&gt;=39.06,E$55&lt;41.67),"39.06",IF(AND(E$55&gt;=41.67,E$55&lt;44.27),"41.67",IF(AND(E$55&gt;=44.27,E$55&lt;46.88),"44.27",IF(AND(E$55&gt;=46.88,E$55&lt;49.479),"46.88",IF(AND(E$55&gt;=49.479,E$55&lt;52.08),"49.479",IF(AND(E$55&gt;=52.08,E$55&lt;54.69),"52.08",IF(AND(E$55&gt;=54.69,E$55&lt;57.29),"54.69",IF(AND(E$55&gt;=57.29,E$55&lt;59.895),"57.29",IF(AND(E$55&gt;=59.895,E$55&lt;=62.5),"59.895",))))))))))))))))))))))))))))))))))))))))))))))))</f>
        <v>54.69</v>
      </c>
      <c r="F57" s="117">
        <f>(E$37+E$40+E$44+E$48+E$51+E$54+E$57)/3600000</f>
        <v>34.065379774999997</v>
      </c>
      <c r="AA57"/>
    </row>
    <row r="58" spans="2:27">
      <c r="B58" s="98">
        <f>B55-B57</f>
        <v>8.0999999118426536E-4</v>
      </c>
      <c r="C58" s="57" t="s">
        <v>14</v>
      </c>
      <c r="D58" s="55" t="s">
        <v>32</v>
      </c>
      <c r="E58" s="109">
        <f>E55-E57</f>
        <v>0.80999998509884108</v>
      </c>
      <c r="F58" s="71"/>
      <c r="AA58"/>
    </row>
    <row r="59" spans="2:27" ht="18.75">
      <c r="B59" s="92">
        <f>IF(AND(B$58&gt;=-0.0002604,B$58&lt;=-0.0002344),"0",IF(AND(B$58&gt;-0.0002344,B$58&lt;=-0.0002083),"1",IF(AND(B$58&gt;-0.0002083,B$58&lt;=-0.0001823),"2",IF(AND(B$58&gt;-0.0001823,B$58&lt;=-0.0001563),"3",IF(AND(B$58&gt;-0.0001563,B$58&lt;=-0.0001302),"4",IF(AND(B$58&gt;-0.0001302,B$58&lt;=-0.0001042),"5",IF(AND(B$58&gt;-0.0001042,B$58&lt;=-0.0000781),"6",IF(AND(B$58&gt;-0.0000781,B$58&lt;=-0.0000521),"7",IF(AND(B$58&gt;-0.0000521,B$58&lt;=-0.0000261),"8",IF(AND(B$58&gt;-0.0000261,B$58&lt;=0),"9",IF(AND(B$58&gt;0,B$58&lt;0.0000261),"0",IF(AND(B$58&gt;=0.0000261,B$58&lt;0.0000521),"1",IF(AND(B$58&gt;=0.0000521,B$58&lt;0.0000781),"2",IF(AND(B$58&gt;=0.0000781,B$58&lt;0.000104),"3",IF(AND(B$58&gt;=0.000104,B$58&lt;0.0001302),"4",IF(AND(B$58&gt;=0.0001302,B$58&lt;0.0001563),"5",IF(AND(B$58&gt;=0.0001563,B$58&lt;0.0001823),"6",IF(AND(B$58&gt;=0.0001823,B$58&lt;0.0002083),"7",IF(AND(B$58&gt;=0.0002083,B$58&lt;0.0002344),"8",IF(AND(B$58&gt;=0.0002344,B$58&lt;=0.0002604),"9",))))))))))))))))))))</f>
        <v>0</v>
      </c>
      <c r="C59" s="57" t="s">
        <v>207</v>
      </c>
      <c r="D59" s="55" t="s">
        <v>207</v>
      </c>
      <c r="E59" s="103">
        <f>IF(AND(E$58&gt;=-0.2604,E$58&lt;=-0.2344),"0",IF(AND(E$58&gt;-0.2344,E$58&lt;=-0.2083),"1",IF(AND(E$58&gt;-0.2083,E$58&lt;=-0.1823),"2",IF(AND(E$58&gt;-0.1823,E$58&lt;=-0.1563),"3",IF(AND(E$58&gt;-0.1563,E$58&lt;=-0.1302),"4",IF(AND(E$58&gt;-0.1302,E$58&lt;=-0.1042),"5",IF(AND(E$58&gt;-0.1042,E$58&lt;=-0.0781),"6",IF(AND(E$58&gt;-0.0781,E$58&lt;=-0.0521),"7",IF(AND(E$58&gt;-0.0521,E$58&lt;=-0.0261),"8",IF(AND(E$58&gt;-0.0261,E$58&lt;=0),"9",IF(AND(E$58&gt;0,E$58&lt;0.0261),"0",IF(AND(E$58&gt;=0.0261,E$58&lt;0.0521),"1",IF(AND(E$58&gt;=0.0521,E$58&lt;0.0781),"2",IF(AND(E$58&gt;=0.0781,E$58&lt;0.104),"3",IF(AND(E$58&gt;=0.104,E$58&lt;0.1302),"4",IF(AND(E$58&gt;=0.1302,E$58&lt;0.1563),"5",IF(AND(E$58&gt;=0.1563,E$58&lt;0.1823),"6",IF(AND(E$58&gt;=0.1823,E$58&lt;0.2083),"7",IF(AND(E$58&gt;=0.2083,E$58&lt;0.2344),"8",IF(AND(E$58&gt;=0.2344,E$58&lt;=0.2604),"9",))))))))))))))))))))</f>
        <v>0</v>
      </c>
      <c r="F59" s="71"/>
      <c r="AA59"/>
    </row>
    <row r="60" spans="2:27">
      <c r="B60" s="97">
        <f>IF(AND(B$58&gt;=-0.0002604,B$58&lt;=-0.0002344),"-0.0002344",IF(AND(B$58&gt;-0.0002344,B$58&lt;=-0.0002083),"-0.0002083",IF(AND(B$58&gt;-0.0002083,B$58&lt;=-0.0001823),"-0.0001823",IF(AND(B$58&gt;-0.0001823,B$58&lt;=-0.0001563),"-0.0001563",IF(AND(B$58&gt;-0.0001563,B$58&lt;=-0.0001302),"-0.0001302",IF(AND(B$58&gt;-0.0001302,B$58&lt;=-0.0001042),"-0.0001042",IF(AND(B$58&gt;-0.0001042,B$58&lt;=-0.0000781),"-0.0000781",IF(AND(B$58&gt;-0.0000781,B$58&lt;=-0.0000521),"-0.0000521",IF(AND(B$58&gt;-0.0000521,B$58&lt;=-0.0000261),"-0.0000261",IF(AND(B$58&gt;-0.0000261,B$58&lt;=0),"0",IF(AND(B$58&gt;0,B$58&lt;0.0000261),"0",IF(AND(B$58&gt;=0.0000261,B$58&lt;0.0000521),"0.0000261",IF(AND(B$58&gt;=0.0000521,B$58&lt;0.0000781),"0.0000521",IF(AND(B$58&gt;=0.0000781,B$58&lt;0.000104),"0.0000781",IF(AND(B$58&gt;=0.000104,B$58&lt;0.0001302),"0.000104",IF(AND(B$58&gt;=0.0001302,B$58&lt;0.0001563),"0.0001302",IF(AND(B$58&gt;=0.0001563,B$58&lt;0.0001823),"0.0001563",IF(AND(B$58&gt;=0.0001823,B$58&lt;0.0002083),"0.0001823",IF(AND(B$58&gt;=0.0002083,B$58&lt;0.0002344),"0.0002083",IF(AND(B$58&gt;=0.0002344,B$58&lt;=0.0002604),"0.0002344",))))))))))))))))))))</f>
        <v>0</v>
      </c>
      <c r="C60" s="57" t="s">
        <v>111</v>
      </c>
      <c r="D60" s="55" t="s">
        <v>111</v>
      </c>
      <c r="E60" s="107">
        <f>IF(AND(E$58&gt;=-0.2604,E$58&lt;=-0.2344),"-0.2344",IF(AND(E$58&gt;-0.2344,E$58&lt;=-0.2083),"-0.2083",IF(AND(E$58&gt;-0.2083,E$58&lt;=-0.1823),"-0.1823",IF(AND(E$58&gt;-0.1823,E$58&lt;=-0.1563),"-0.1563",IF(AND(E$58&gt;-0.1563,E$58&lt;=-0.1302),"-0.1302",IF(AND(E$58&gt;-0.1302,E$58&lt;=-0.1042),"-0.1042",IF(AND(E$58&gt;-0.1042,E$58&lt;=-0.0781),"-0.0781",IF(AND(E$58&gt;-0.0781,E$58&lt;=-0.0521),"-0.0521",IF(AND(E$58&gt;-0.0521,E$58&lt;=-0.0261),"-0.0261",IF(AND(E$58&gt;-0.0261,E$58&lt;=0),"0",IF(AND(E$58&gt;0,E$58&lt;0.0261),"0",IF(AND(E$58&gt;=0.0261,E$58&lt;0.0521),"0.0261",IF(AND(E$58&gt;=0.0521,E$58&lt;0.0781),"0.0521",IF(AND(E$58&gt;=0.0781,E$58&lt;0.104),"0.0781",IF(AND(E$58&gt;=0.104,E$58&lt;0.1302),"0.104",IF(AND(E$58&gt;=0.1302,E$58&lt;0.1563),"0.1302",IF(AND(E$58&gt;=0.1563,E$58&lt;0.1823),"0.1563",IF(AND(E$58&gt;=0.1823,E$58&lt;0.2083),"0.1823",IF(AND(E$58&gt;=0.2083,E$58&lt;0.2344),"0.2083",IF(AND(E$58&gt;=0.2344,E$58&lt;=0.2604),"0.2344",))))))))))))))))))))</f>
        <v>0</v>
      </c>
      <c r="F60" s="117">
        <f>(E$37+E$40+E$44+E$48+E$51+E$54+E$57+E$60)/3600000</f>
        <v>34.065379774999997</v>
      </c>
      <c r="AA60"/>
    </row>
    <row r="61" spans="2:27" ht="15.75" thickBot="1">
      <c r="B61" s="99">
        <f>B58-B60</f>
        <v>8.0999999118426536E-4</v>
      </c>
      <c r="C61" s="70" t="s">
        <v>14</v>
      </c>
      <c r="D61" s="60" t="s">
        <v>32</v>
      </c>
      <c r="E61" s="110">
        <f>E58-E60</f>
        <v>0.80999998509884108</v>
      </c>
      <c r="F61" s="72"/>
      <c r="AA61"/>
    </row>
    <row r="62" spans="2:27" ht="19.5" thickBot="1">
      <c r="B62" s="232" t="s">
        <v>184</v>
      </c>
      <c r="C62" s="233"/>
      <c r="D62" s="233"/>
      <c r="E62" s="233"/>
      <c r="F62" s="234"/>
    </row>
  </sheetData>
  <mergeCells count="5">
    <mergeCell ref="E2:E4"/>
    <mergeCell ref="B7:C7"/>
    <mergeCell ref="D7:E7"/>
    <mergeCell ref="B5:E5"/>
    <mergeCell ref="B62:F62"/>
  </mergeCells>
  <conditionalFormatting sqref="L4:L5 J3">
    <cfRule type="containsText" dxfId="0" priority="2" operator="containsText" text="Match">
      <formula>NOT(ISERROR(SEARCH("Match",J3)))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04"/>
  <sheetViews>
    <sheetView workbookViewId="0">
      <selection activeCell="F1" sqref="F1"/>
    </sheetView>
  </sheetViews>
  <sheetFormatPr defaultRowHeight="15"/>
  <cols>
    <col min="1" max="1" width="4.85546875" customWidth="1"/>
    <col min="2" max="2" width="13" style="1" customWidth="1"/>
    <col min="3" max="3" width="10.140625" style="1" customWidth="1"/>
    <col min="4" max="4" width="13.7109375" style="1" customWidth="1"/>
  </cols>
  <sheetData>
    <row r="1" spans="2:4" ht="15.75" thickBot="1"/>
    <row r="2" spans="2:4" ht="15.75" thickBot="1">
      <c r="B2" s="285" t="s">
        <v>88</v>
      </c>
      <c r="C2" s="285"/>
      <c r="D2" s="285"/>
    </row>
    <row r="3" spans="2:4">
      <c r="B3" s="75" t="s">
        <v>91</v>
      </c>
      <c r="C3" s="75" t="s">
        <v>63</v>
      </c>
      <c r="D3" s="75" t="s">
        <v>100</v>
      </c>
    </row>
    <row r="4" spans="2:4">
      <c r="B4" s="33">
        <f>-B100</f>
        <v>-0.12500016</v>
      </c>
      <c r="C4" s="33"/>
      <c r="D4" s="33">
        <f>B4*1000</f>
        <v>-125.00015999999999</v>
      </c>
    </row>
    <row r="5" spans="2:4">
      <c r="B5" s="33"/>
      <c r="C5" s="33" t="s">
        <v>64</v>
      </c>
      <c r="D5" s="33"/>
    </row>
    <row r="6" spans="2:4">
      <c r="B6" s="33">
        <f>-B98</f>
        <v>-0.11979181999999999</v>
      </c>
      <c r="C6" s="33"/>
      <c r="D6" s="33">
        <f t="shared" ref="D6:D68" si="0">B6*1000</f>
        <v>-119.79181999999999</v>
      </c>
    </row>
    <row r="7" spans="2:4">
      <c r="B7" s="33"/>
      <c r="C7" s="33" t="s">
        <v>65</v>
      </c>
      <c r="D7" s="33"/>
    </row>
    <row r="8" spans="2:4">
      <c r="B8" s="33">
        <f>-B96</f>
        <v>-0.11458347999999999</v>
      </c>
      <c r="C8" s="33"/>
      <c r="D8" s="33">
        <f t="shared" si="0"/>
        <v>-114.58347999999999</v>
      </c>
    </row>
    <row r="9" spans="2:4">
      <c r="B9" s="33"/>
      <c r="C9" s="33" t="s">
        <v>66</v>
      </c>
      <c r="D9" s="33"/>
    </row>
    <row r="10" spans="2:4">
      <c r="B10" s="33">
        <f>-B94</f>
        <v>-0.10937514</v>
      </c>
      <c r="C10" s="33"/>
      <c r="D10" s="33">
        <f t="shared" si="0"/>
        <v>-109.37514</v>
      </c>
    </row>
    <row r="11" spans="2:4">
      <c r="B11" s="33"/>
      <c r="C11" s="33" t="s">
        <v>67</v>
      </c>
      <c r="D11" s="33"/>
    </row>
    <row r="12" spans="2:4">
      <c r="B12" s="33">
        <f>-B92</f>
        <v>-0.10416679999999999</v>
      </c>
      <c r="C12" s="33"/>
      <c r="D12" s="33">
        <f t="shared" si="0"/>
        <v>-104.16679999999999</v>
      </c>
    </row>
    <row r="13" spans="2:4">
      <c r="B13" s="33"/>
      <c r="C13" s="33" t="s">
        <v>68</v>
      </c>
      <c r="D13" s="33"/>
    </row>
    <row r="14" spans="2:4">
      <c r="B14" s="33">
        <f>-B90</f>
        <v>-9.8958459999999998E-2</v>
      </c>
      <c r="C14" s="33"/>
      <c r="D14" s="33">
        <f t="shared" si="0"/>
        <v>-98.958460000000002</v>
      </c>
    </row>
    <row r="15" spans="2:4">
      <c r="B15" s="33"/>
      <c r="C15" s="33" t="s">
        <v>69</v>
      </c>
      <c r="D15" s="33"/>
    </row>
    <row r="16" spans="2:4">
      <c r="B16" s="33">
        <f>-B88</f>
        <v>-9.3750119999999992E-2</v>
      </c>
      <c r="C16" s="33"/>
      <c r="D16" s="33">
        <f t="shared" si="0"/>
        <v>-93.750119999999995</v>
      </c>
    </row>
    <row r="17" spans="2:4">
      <c r="B17" s="33"/>
      <c r="C17" s="33" t="s">
        <v>70</v>
      </c>
      <c r="D17" s="33"/>
    </row>
    <row r="18" spans="2:4">
      <c r="B18" s="33">
        <f>-B86</f>
        <v>-8.854178E-2</v>
      </c>
      <c r="C18" s="33"/>
      <c r="D18" s="33">
        <f t="shared" si="0"/>
        <v>-88.541780000000003</v>
      </c>
    </row>
    <row r="19" spans="2:4">
      <c r="B19" s="33"/>
      <c r="C19" s="33" t="s">
        <v>71</v>
      </c>
      <c r="D19" s="33"/>
    </row>
    <row r="20" spans="2:4">
      <c r="B20" s="33">
        <f>-B84</f>
        <v>-8.3333439999999995E-2</v>
      </c>
      <c r="C20" s="33"/>
      <c r="D20" s="33">
        <f t="shared" si="0"/>
        <v>-83.333439999999996</v>
      </c>
    </row>
    <row r="21" spans="2:4">
      <c r="B21" s="33"/>
      <c r="C21" s="33" t="s">
        <v>72</v>
      </c>
      <c r="D21" s="33"/>
    </row>
    <row r="22" spans="2:4">
      <c r="B22" s="33">
        <f>-B82</f>
        <v>-7.8125099999999989E-2</v>
      </c>
      <c r="C22" s="33"/>
      <c r="D22" s="33">
        <f t="shared" si="0"/>
        <v>-78.125099999999989</v>
      </c>
    </row>
    <row r="23" spans="2:4">
      <c r="B23" s="33"/>
      <c r="C23" s="33" t="s">
        <v>73</v>
      </c>
      <c r="D23" s="33"/>
    </row>
    <row r="24" spans="2:4">
      <c r="B24" s="33">
        <f>-B80</f>
        <v>-7.2916759999999997E-2</v>
      </c>
      <c r="C24" s="33"/>
      <c r="D24" s="33">
        <f t="shared" si="0"/>
        <v>-72.916759999999996</v>
      </c>
    </row>
    <row r="25" spans="2:4">
      <c r="B25" s="33"/>
      <c r="C25" s="33" t="s">
        <v>74</v>
      </c>
      <c r="D25" s="33"/>
    </row>
    <row r="26" spans="2:4">
      <c r="B26" s="33">
        <f>-B78</f>
        <v>-6.7708419999999991E-2</v>
      </c>
      <c r="C26" s="33"/>
      <c r="D26" s="33">
        <f t="shared" si="0"/>
        <v>-67.70841999999999</v>
      </c>
    </row>
    <row r="27" spans="2:4">
      <c r="B27" s="33"/>
      <c r="C27" s="33" t="s">
        <v>75</v>
      </c>
      <c r="D27" s="33"/>
    </row>
    <row r="28" spans="2:4">
      <c r="B28" s="33">
        <f>-B76</f>
        <v>-6.250008E-2</v>
      </c>
      <c r="C28" s="33"/>
      <c r="D28" s="33">
        <f t="shared" si="0"/>
        <v>-62.500079999999997</v>
      </c>
    </row>
    <row r="29" spans="2:4">
      <c r="B29" s="33"/>
      <c r="C29" s="33" t="s">
        <v>76</v>
      </c>
      <c r="D29" s="33"/>
    </row>
    <row r="30" spans="2:4">
      <c r="B30" s="33">
        <f>-B74</f>
        <v>-5.7291739999999994E-2</v>
      </c>
      <c r="C30" s="33"/>
      <c r="D30" s="33">
        <f t="shared" si="0"/>
        <v>-57.291739999999997</v>
      </c>
    </row>
    <row r="31" spans="2:4">
      <c r="B31" s="33"/>
      <c r="C31" s="33" t="s">
        <v>77</v>
      </c>
      <c r="D31" s="33"/>
    </row>
    <row r="32" spans="2:4">
      <c r="B32" s="33">
        <f>-B72</f>
        <v>-5.2083399999999995E-2</v>
      </c>
      <c r="C32" s="33"/>
      <c r="D32" s="33">
        <f t="shared" si="0"/>
        <v>-52.083399999999997</v>
      </c>
    </row>
    <row r="33" spans="2:4">
      <c r="B33" s="33"/>
      <c r="C33" s="33" t="s">
        <v>78</v>
      </c>
      <c r="D33" s="33"/>
    </row>
    <row r="34" spans="2:4">
      <c r="B34" s="33">
        <f>-B70</f>
        <v>-4.6875059999999996E-2</v>
      </c>
      <c r="C34" s="33"/>
      <c r="D34" s="33">
        <f t="shared" si="0"/>
        <v>-46.875059999999998</v>
      </c>
    </row>
    <row r="35" spans="2:4">
      <c r="B35" s="33"/>
      <c r="C35" s="33" t="s">
        <v>79</v>
      </c>
      <c r="D35" s="33"/>
    </row>
    <row r="36" spans="2:4">
      <c r="B36" s="33">
        <f>-B68</f>
        <v>-4.1666719999999997E-2</v>
      </c>
      <c r="C36" s="33"/>
      <c r="D36" s="33">
        <f t="shared" si="0"/>
        <v>-41.666719999999998</v>
      </c>
    </row>
    <row r="37" spans="2:4">
      <c r="B37" s="33"/>
      <c r="C37" s="33" t="s">
        <v>80</v>
      </c>
      <c r="D37" s="33"/>
    </row>
    <row r="38" spans="2:4">
      <c r="B38" s="33">
        <f>-B66</f>
        <v>-3.6458379999999999E-2</v>
      </c>
      <c r="C38" s="33"/>
      <c r="D38" s="33">
        <f t="shared" si="0"/>
        <v>-36.458379999999998</v>
      </c>
    </row>
    <row r="39" spans="2:4">
      <c r="B39" s="33"/>
      <c r="C39" s="33" t="s">
        <v>81</v>
      </c>
      <c r="D39" s="33"/>
    </row>
    <row r="40" spans="2:4">
      <c r="B40" s="33">
        <f>-B64</f>
        <v>-3.125004E-2</v>
      </c>
      <c r="C40" s="33"/>
      <c r="D40" s="33">
        <f t="shared" si="0"/>
        <v>-31.250039999999998</v>
      </c>
    </row>
    <row r="41" spans="2:4">
      <c r="B41" s="33"/>
      <c r="C41" s="33" t="s">
        <v>82</v>
      </c>
      <c r="D41" s="33"/>
    </row>
    <row r="42" spans="2:4">
      <c r="B42" s="33">
        <f>-B62</f>
        <v>-2.6041699999999997E-2</v>
      </c>
      <c r="C42" s="33"/>
      <c r="D42" s="33">
        <f t="shared" si="0"/>
        <v>-26.041699999999999</v>
      </c>
    </row>
    <row r="43" spans="2:4">
      <c r="B43" s="33"/>
      <c r="C43" s="33" t="s">
        <v>83</v>
      </c>
      <c r="D43" s="33"/>
    </row>
    <row r="44" spans="2:4">
      <c r="B44" s="33">
        <f>-B60</f>
        <v>-2.0833359999999999E-2</v>
      </c>
      <c r="C44" s="33"/>
      <c r="D44" s="33">
        <f t="shared" si="0"/>
        <v>-20.833359999999999</v>
      </c>
    </row>
    <row r="45" spans="2:4">
      <c r="B45" s="33"/>
      <c r="C45" s="33" t="s">
        <v>84</v>
      </c>
      <c r="D45" s="33"/>
    </row>
    <row r="46" spans="2:4">
      <c r="B46" s="33">
        <f>-B58</f>
        <v>-1.562502E-2</v>
      </c>
      <c r="C46" s="33"/>
      <c r="D46" s="33">
        <f t="shared" si="0"/>
        <v>-15.625019999999999</v>
      </c>
    </row>
    <row r="47" spans="2:4">
      <c r="B47" s="33"/>
      <c r="C47" s="33" t="s">
        <v>85</v>
      </c>
      <c r="D47" s="33"/>
    </row>
    <row r="48" spans="2:4">
      <c r="B48" s="33">
        <f>-B56</f>
        <v>-1.0416679999999999E-2</v>
      </c>
      <c r="C48" s="33"/>
      <c r="D48" s="33">
        <f t="shared" si="0"/>
        <v>-10.416679999999999</v>
      </c>
    </row>
    <row r="49" spans="2:4">
      <c r="B49" s="33"/>
      <c r="C49" s="33" t="s">
        <v>86</v>
      </c>
      <c r="D49" s="33"/>
    </row>
    <row r="50" spans="2:4">
      <c r="B50" s="33">
        <f>-B54</f>
        <v>-5.2083399999999997E-3</v>
      </c>
      <c r="C50" s="33"/>
      <c r="D50" s="33">
        <f t="shared" si="0"/>
        <v>-5.2083399999999997</v>
      </c>
    </row>
    <row r="51" spans="2:4">
      <c r="B51" s="33"/>
      <c r="C51" s="33" t="s">
        <v>87</v>
      </c>
      <c r="D51" s="33"/>
    </row>
    <row r="52" spans="2:4">
      <c r="B52" s="33">
        <v>0</v>
      </c>
      <c r="C52" s="33"/>
      <c r="D52" s="33">
        <f t="shared" si="0"/>
        <v>0</v>
      </c>
    </row>
    <row r="53" spans="2:4">
      <c r="B53" s="33"/>
      <c r="C53" s="33" t="s">
        <v>64</v>
      </c>
      <c r="D53" s="33"/>
    </row>
    <row r="54" spans="2:4">
      <c r="B54" s="33">
        <v>5.2083399999999997E-3</v>
      </c>
      <c r="C54" s="33"/>
      <c r="D54" s="33">
        <f t="shared" si="0"/>
        <v>5.2083399999999997</v>
      </c>
    </row>
    <row r="55" spans="2:4">
      <c r="B55" s="33"/>
      <c r="C55" s="33" t="s">
        <v>65</v>
      </c>
      <c r="D55" s="33"/>
    </row>
    <row r="56" spans="2:4">
      <c r="B56" s="33">
        <f>B54*2</f>
        <v>1.0416679999999999E-2</v>
      </c>
      <c r="C56" s="33"/>
      <c r="D56" s="33">
        <f t="shared" si="0"/>
        <v>10.416679999999999</v>
      </c>
    </row>
    <row r="57" spans="2:4">
      <c r="B57" s="33"/>
      <c r="C57" s="33" t="s">
        <v>66</v>
      </c>
      <c r="D57" s="33"/>
    </row>
    <row r="58" spans="2:4">
      <c r="B58" s="33">
        <f>B54*3</f>
        <v>1.562502E-2</v>
      </c>
      <c r="C58" s="33"/>
      <c r="D58" s="33">
        <f t="shared" si="0"/>
        <v>15.625019999999999</v>
      </c>
    </row>
    <row r="59" spans="2:4">
      <c r="B59" s="33"/>
      <c r="C59" s="33" t="s">
        <v>67</v>
      </c>
      <c r="D59" s="33"/>
    </row>
    <row r="60" spans="2:4">
      <c r="B60" s="33">
        <f>$B$54*4</f>
        <v>2.0833359999999999E-2</v>
      </c>
      <c r="C60" s="33"/>
      <c r="D60" s="33">
        <f t="shared" si="0"/>
        <v>20.833359999999999</v>
      </c>
    </row>
    <row r="61" spans="2:4">
      <c r="B61" s="33"/>
      <c r="C61" s="33" t="s">
        <v>68</v>
      </c>
      <c r="D61" s="33"/>
    </row>
    <row r="62" spans="2:4">
      <c r="B62" s="33">
        <f>$B$54*5</f>
        <v>2.6041699999999997E-2</v>
      </c>
      <c r="C62" s="33"/>
      <c r="D62" s="33">
        <f t="shared" si="0"/>
        <v>26.041699999999999</v>
      </c>
    </row>
    <row r="63" spans="2:4">
      <c r="B63" s="33"/>
      <c r="C63" s="33" t="s">
        <v>69</v>
      </c>
      <c r="D63" s="33"/>
    </row>
    <row r="64" spans="2:4">
      <c r="B64" s="33">
        <f>$B$54*6</f>
        <v>3.125004E-2</v>
      </c>
      <c r="C64" s="33"/>
      <c r="D64" s="33">
        <f t="shared" si="0"/>
        <v>31.250039999999998</v>
      </c>
    </row>
    <row r="65" spans="2:4">
      <c r="B65" s="33"/>
      <c r="C65" s="33" t="s">
        <v>70</v>
      </c>
      <c r="D65" s="33"/>
    </row>
    <row r="66" spans="2:4">
      <c r="B66" s="33">
        <f>$B$54*7</f>
        <v>3.6458379999999999E-2</v>
      </c>
      <c r="C66" s="33"/>
      <c r="D66" s="33">
        <f t="shared" si="0"/>
        <v>36.458379999999998</v>
      </c>
    </row>
    <row r="67" spans="2:4">
      <c r="B67" s="33"/>
      <c r="C67" s="33" t="s">
        <v>71</v>
      </c>
      <c r="D67" s="33"/>
    </row>
    <row r="68" spans="2:4">
      <c r="B68" s="33">
        <f>$B$54*8</f>
        <v>4.1666719999999997E-2</v>
      </c>
      <c r="C68" s="33"/>
      <c r="D68" s="33">
        <f t="shared" si="0"/>
        <v>41.666719999999998</v>
      </c>
    </row>
    <row r="69" spans="2:4">
      <c r="B69" s="33"/>
      <c r="C69" s="33" t="s">
        <v>72</v>
      </c>
      <c r="D69" s="33"/>
    </row>
    <row r="70" spans="2:4">
      <c r="B70" s="33">
        <f>$B$54*9</f>
        <v>4.6875059999999996E-2</v>
      </c>
      <c r="C70" s="33"/>
      <c r="D70" s="33">
        <f t="shared" ref="D70:D100" si="1">B70*1000</f>
        <v>46.875059999999998</v>
      </c>
    </row>
    <row r="71" spans="2:4">
      <c r="B71" s="33"/>
      <c r="C71" s="33" t="s">
        <v>73</v>
      </c>
      <c r="D71" s="33"/>
    </row>
    <row r="72" spans="2:4">
      <c r="B72" s="33">
        <f>$B$54*10</f>
        <v>5.2083399999999995E-2</v>
      </c>
      <c r="C72" s="33"/>
      <c r="D72" s="33">
        <f t="shared" si="1"/>
        <v>52.083399999999997</v>
      </c>
    </row>
    <row r="73" spans="2:4">
      <c r="B73" s="33"/>
      <c r="C73" s="33" t="s">
        <v>74</v>
      </c>
      <c r="D73" s="33"/>
    </row>
    <row r="74" spans="2:4">
      <c r="B74" s="33">
        <f>$B$54*11</f>
        <v>5.7291739999999994E-2</v>
      </c>
      <c r="C74" s="33"/>
      <c r="D74" s="33">
        <f t="shared" si="1"/>
        <v>57.291739999999997</v>
      </c>
    </row>
    <row r="75" spans="2:4">
      <c r="B75" s="33"/>
      <c r="C75" s="33" t="s">
        <v>75</v>
      </c>
      <c r="D75" s="33"/>
    </row>
    <row r="76" spans="2:4">
      <c r="B76" s="33">
        <f>$B$54*12</f>
        <v>6.250008E-2</v>
      </c>
      <c r="C76" s="33"/>
      <c r="D76" s="33">
        <f t="shared" si="1"/>
        <v>62.500079999999997</v>
      </c>
    </row>
    <row r="77" spans="2:4">
      <c r="B77" s="33"/>
      <c r="C77" s="33" t="s">
        <v>76</v>
      </c>
      <c r="D77" s="33"/>
    </row>
    <row r="78" spans="2:4">
      <c r="B78" s="33">
        <f>$B$54*13</f>
        <v>6.7708419999999991E-2</v>
      </c>
      <c r="C78" s="33"/>
      <c r="D78" s="33">
        <f t="shared" si="1"/>
        <v>67.70841999999999</v>
      </c>
    </row>
    <row r="79" spans="2:4">
      <c r="B79" s="33"/>
      <c r="C79" s="33" t="s">
        <v>77</v>
      </c>
      <c r="D79" s="33"/>
    </row>
    <row r="80" spans="2:4">
      <c r="B80" s="33">
        <f>$B$54*14</f>
        <v>7.2916759999999997E-2</v>
      </c>
      <c r="C80" s="33"/>
      <c r="D80" s="33">
        <f t="shared" si="1"/>
        <v>72.916759999999996</v>
      </c>
    </row>
    <row r="81" spans="2:4">
      <c r="B81" s="33"/>
      <c r="C81" s="33" t="s">
        <v>78</v>
      </c>
      <c r="D81" s="33"/>
    </row>
    <row r="82" spans="2:4">
      <c r="B82" s="33">
        <f>$B$54*15</f>
        <v>7.8125099999999989E-2</v>
      </c>
      <c r="C82" s="33"/>
      <c r="D82" s="33">
        <f t="shared" si="1"/>
        <v>78.125099999999989</v>
      </c>
    </row>
    <row r="83" spans="2:4">
      <c r="B83" s="33"/>
      <c r="C83" s="33" t="s">
        <v>79</v>
      </c>
      <c r="D83" s="33"/>
    </row>
    <row r="84" spans="2:4">
      <c r="B84" s="33">
        <f>$B$54*16</f>
        <v>8.3333439999999995E-2</v>
      </c>
      <c r="C84" s="33"/>
      <c r="D84" s="33">
        <f t="shared" si="1"/>
        <v>83.333439999999996</v>
      </c>
    </row>
    <row r="85" spans="2:4">
      <c r="B85" s="33"/>
      <c r="C85" s="33" t="s">
        <v>80</v>
      </c>
      <c r="D85" s="33"/>
    </row>
    <row r="86" spans="2:4">
      <c r="B86" s="33">
        <f>$B$54*17</f>
        <v>8.854178E-2</v>
      </c>
      <c r="C86" s="33"/>
      <c r="D86" s="33">
        <f t="shared" si="1"/>
        <v>88.541780000000003</v>
      </c>
    </row>
    <row r="87" spans="2:4">
      <c r="B87" s="33"/>
      <c r="C87" s="33" t="s">
        <v>81</v>
      </c>
      <c r="D87" s="33"/>
    </row>
    <row r="88" spans="2:4">
      <c r="B88" s="33">
        <f>$B$54*18</f>
        <v>9.3750119999999992E-2</v>
      </c>
      <c r="C88" s="33"/>
      <c r="D88" s="33">
        <f t="shared" si="1"/>
        <v>93.750119999999995</v>
      </c>
    </row>
    <row r="89" spans="2:4">
      <c r="B89" s="33"/>
      <c r="C89" s="33" t="s">
        <v>82</v>
      </c>
      <c r="D89" s="33"/>
    </row>
    <row r="90" spans="2:4">
      <c r="B90" s="33">
        <f>$B$54*19</f>
        <v>9.8958459999999998E-2</v>
      </c>
      <c r="C90" s="33"/>
      <c r="D90" s="33">
        <f t="shared" si="1"/>
        <v>98.958460000000002</v>
      </c>
    </row>
    <row r="91" spans="2:4">
      <c r="B91" s="33"/>
      <c r="C91" s="33" t="s">
        <v>83</v>
      </c>
      <c r="D91" s="33"/>
    </row>
    <row r="92" spans="2:4">
      <c r="B92" s="33">
        <f>$B$54*20</f>
        <v>0.10416679999999999</v>
      </c>
      <c r="C92" s="33"/>
      <c r="D92" s="33">
        <f t="shared" si="1"/>
        <v>104.16679999999999</v>
      </c>
    </row>
    <row r="93" spans="2:4">
      <c r="B93" s="33"/>
      <c r="C93" s="33" t="s">
        <v>84</v>
      </c>
      <c r="D93" s="33"/>
    </row>
    <row r="94" spans="2:4">
      <c r="B94" s="33">
        <f>$B$54*21</f>
        <v>0.10937514</v>
      </c>
      <c r="C94" s="33"/>
      <c r="D94" s="33">
        <f t="shared" si="1"/>
        <v>109.37514</v>
      </c>
    </row>
    <row r="95" spans="2:4">
      <c r="B95" s="33"/>
      <c r="C95" s="33" t="s">
        <v>85</v>
      </c>
      <c r="D95" s="33"/>
    </row>
    <row r="96" spans="2:4">
      <c r="B96" s="33">
        <f>$B$54*22</f>
        <v>0.11458347999999999</v>
      </c>
      <c r="C96" s="33"/>
      <c r="D96" s="33">
        <f t="shared" si="1"/>
        <v>114.58347999999999</v>
      </c>
    </row>
    <row r="97" spans="2:4">
      <c r="B97" s="33"/>
      <c r="C97" s="33" t="s">
        <v>86</v>
      </c>
      <c r="D97" s="33"/>
    </row>
    <row r="98" spans="2:4">
      <c r="B98" s="33">
        <f>$B$54*23</f>
        <v>0.11979181999999999</v>
      </c>
      <c r="C98" s="33"/>
      <c r="D98" s="33">
        <f t="shared" si="1"/>
        <v>119.79181999999999</v>
      </c>
    </row>
    <row r="99" spans="2:4">
      <c r="B99" s="33"/>
      <c r="C99" s="33" t="s">
        <v>87</v>
      </c>
      <c r="D99" s="33"/>
    </row>
    <row r="100" spans="2:4" ht="15.75" thickBot="1">
      <c r="B100" s="35">
        <f>$B$54*24</f>
        <v>0.12500016</v>
      </c>
      <c r="C100" s="35"/>
      <c r="D100" s="35">
        <f t="shared" si="1"/>
        <v>125.00015999999999</v>
      </c>
    </row>
    <row r="101" spans="2:4">
      <c r="B101" s="258" t="s">
        <v>223</v>
      </c>
      <c r="C101" s="270"/>
      <c r="D101" s="271"/>
    </row>
    <row r="102" spans="2:4">
      <c r="B102" s="261"/>
      <c r="C102" s="262"/>
      <c r="D102" s="263"/>
    </row>
    <row r="103" spans="2:4">
      <c r="B103" s="261"/>
      <c r="C103" s="262"/>
      <c r="D103" s="263"/>
    </row>
    <row r="104" spans="2:4" ht="15.75" thickBot="1">
      <c r="B104" s="264"/>
      <c r="C104" s="265"/>
      <c r="D104" s="266"/>
    </row>
  </sheetData>
  <mergeCells count="2">
    <mergeCell ref="B2:D2"/>
    <mergeCell ref="B101:D104"/>
  </mergeCells>
  <printOptions horizontalCentered="1" verticalCentered="1"/>
  <pageMargins left="0.7" right="0.7" top="0.5" bottom="0.5" header="0.3" footer="0.3"/>
  <pageSetup scale="99" fitToHeight="2" orientation="portrait" r:id="rId1"/>
  <headerFooter>
    <oddFooter>&amp;CTable 13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04"/>
  <sheetViews>
    <sheetView workbookViewId="0">
      <selection activeCell="B2" sqref="B2:D2"/>
    </sheetView>
  </sheetViews>
  <sheetFormatPr defaultRowHeight="15"/>
  <cols>
    <col min="1" max="1" width="4.5703125" customWidth="1"/>
    <col min="2" max="2" width="14.140625" customWidth="1"/>
    <col min="3" max="3" width="12.42578125" customWidth="1"/>
    <col min="4" max="4" width="15.85546875" customWidth="1"/>
    <col min="5" max="5" width="5.140625" customWidth="1"/>
  </cols>
  <sheetData>
    <row r="1" spans="2:4" ht="15.75" thickBot="1"/>
    <row r="2" spans="2:4" ht="15.75" thickBot="1">
      <c r="B2" s="286" t="s">
        <v>89</v>
      </c>
      <c r="C2" s="286"/>
      <c r="D2" s="286"/>
    </row>
    <row r="3" spans="2:4">
      <c r="B3" s="75" t="s">
        <v>91</v>
      </c>
      <c r="C3" s="75" t="s">
        <v>63</v>
      </c>
      <c r="D3" s="75" t="s">
        <v>100</v>
      </c>
    </row>
    <row r="4" spans="2:4">
      <c r="B4" s="33">
        <f>-B100</f>
        <v>-6.2500007999999996E-2</v>
      </c>
      <c r="C4" s="33"/>
      <c r="D4" s="33">
        <f>B4*1000</f>
        <v>-62.500007999999994</v>
      </c>
    </row>
    <row r="5" spans="2:4">
      <c r="B5" s="33"/>
      <c r="C5" s="33" t="s">
        <v>64</v>
      </c>
      <c r="D5" s="33"/>
    </row>
    <row r="6" spans="2:4">
      <c r="B6" s="33">
        <f>-B98</f>
        <v>-5.9895841000000005E-2</v>
      </c>
      <c r="C6" s="33"/>
      <c r="D6" s="33">
        <f t="shared" ref="D6:D68" si="0">B6*1000</f>
        <v>-59.895841000000004</v>
      </c>
    </row>
    <row r="7" spans="2:4">
      <c r="B7" s="33"/>
      <c r="C7" s="33" t="s">
        <v>65</v>
      </c>
      <c r="D7" s="33"/>
    </row>
    <row r="8" spans="2:4">
      <c r="B8" s="33">
        <f>-B96</f>
        <v>-5.7291674000000001E-2</v>
      </c>
      <c r="C8" s="33"/>
      <c r="D8" s="33">
        <f t="shared" si="0"/>
        <v>-57.291674</v>
      </c>
    </row>
    <row r="9" spans="2:4">
      <c r="B9" s="33"/>
      <c r="C9" s="33" t="s">
        <v>66</v>
      </c>
      <c r="D9" s="33"/>
    </row>
    <row r="10" spans="2:4">
      <c r="B10" s="33">
        <f>-B94</f>
        <v>-5.4687507000000003E-2</v>
      </c>
      <c r="C10" s="33"/>
      <c r="D10" s="33">
        <f t="shared" si="0"/>
        <v>-54.687507000000004</v>
      </c>
    </row>
    <row r="11" spans="2:4">
      <c r="B11" s="33"/>
      <c r="C11" s="33" t="s">
        <v>67</v>
      </c>
      <c r="D11" s="33"/>
    </row>
    <row r="12" spans="2:4">
      <c r="B12" s="33">
        <f>-B92</f>
        <v>-5.2083340000000006E-2</v>
      </c>
      <c r="C12" s="33"/>
      <c r="D12" s="33">
        <f t="shared" si="0"/>
        <v>-52.083340000000007</v>
      </c>
    </row>
    <row r="13" spans="2:4">
      <c r="B13" s="33"/>
      <c r="C13" s="33" t="s">
        <v>68</v>
      </c>
      <c r="D13" s="33"/>
    </row>
    <row r="14" spans="2:4">
      <c r="B14" s="33">
        <f>-B90</f>
        <v>-4.9479173000000001E-2</v>
      </c>
      <c r="C14" s="33"/>
      <c r="D14" s="33">
        <f t="shared" si="0"/>
        <v>-49.479173000000003</v>
      </c>
    </row>
    <row r="15" spans="2:4">
      <c r="B15" s="33"/>
      <c r="C15" s="33" t="s">
        <v>69</v>
      </c>
      <c r="D15" s="33"/>
    </row>
    <row r="16" spans="2:4">
      <c r="B16" s="33">
        <f>-B88</f>
        <v>-4.6875006000000004E-2</v>
      </c>
      <c r="C16" s="33"/>
      <c r="D16" s="33">
        <f t="shared" si="0"/>
        <v>-46.875006000000006</v>
      </c>
    </row>
    <row r="17" spans="2:4">
      <c r="B17" s="33"/>
      <c r="C17" s="33" t="s">
        <v>70</v>
      </c>
      <c r="D17" s="33"/>
    </row>
    <row r="18" spans="2:4">
      <c r="B18" s="33">
        <f>-B86</f>
        <v>-4.4270838999999999E-2</v>
      </c>
      <c r="C18" s="33"/>
      <c r="D18" s="33">
        <f t="shared" si="0"/>
        <v>-44.270839000000002</v>
      </c>
    </row>
    <row r="19" spans="2:4">
      <c r="B19" s="33"/>
      <c r="C19" s="33" t="s">
        <v>71</v>
      </c>
      <c r="D19" s="33"/>
    </row>
    <row r="20" spans="2:4">
      <c r="B20" s="33">
        <f>-B84</f>
        <v>-4.1666672000000002E-2</v>
      </c>
      <c r="C20" s="33"/>
      <c r="D20" s="33">
        <f t="shared" si="0"/>
        <v>-41.666671999999998</v>
      </c>
    </row>
    <row r="21" spans="2:4">
      <c r="B21" s="33"/>
      <c r="C21" s="33" t="s">
        <v>72</v>
      </c>
      <c r="D21" s="33"/>
    </row>
    <row r="22" spans="2:4">
      <c r="B22" s="33">
        <f>-B82</f>
        <v>-3.9062505000000004E-2</v>
      </c>
      <c r="C22" s="33"/>
      <c r="D22" s="33">
        <f t="shared" si="0"/>
        <v>-39.062505000000002</v>
      </c>
    </row>
    <row r="23" spans="2:4">
      <c r="B23" s="33"/>
      <c r="C23" s="33" t="s">
        <v>73</v>
      </c>
      <c r="D23" s="33"/>
    </row>
    <row r="24" spans="2:4">
      <c r="B24" s="33">
        <f>-B80</f>
        <v>-3.6458338E-2</v>
      </c>
      <c r="C24" s="33"/>
      <c r="D24" s="33">
        <f t="shared" si="0"/>
        <v>-36.458337999999998</v>
      </c>
    </row>
    <row r="25" spans="2:4">
      <c r="B25" s="33"/>
      <c r="C25" s="33" t="s">
        <v>74</v>
      </c>
      <c r="D25" s="33"/>
    </row>
    <row r="26" spans="2:4">
      <c r="B26" s="33">
        <f>-B78</f>
        <v>-3.3854171000000002E-2</v>
      </c>
      <c r="C26" s="33"/>
      <c r="D26" s="33">
        <f t="shared" si="0"/>
        <v>-33.854171000000001</v>
      </c>
    </row>
    <row r="27" spans="2:4">
      <c r="B27" s="33"/>
      <c r="C27" s="33" t="s">
        <v>75</v>
      </c>
      <c r="D27" s="33"/>
    </row>
    <row r="28" spans="2:4">
      <c r="B28" s="33">
        <f>-B76</f>
        <v>-3.1250003999999998E-2</v>
      </c>
      <c r="C28" s="33"/>
      <c r="D28" s="33">
        <f t="shared" si="0"/>
        <v>-31.250003999999997</v>
      </c>
    </row>
    <row r="29" spans="2:4">
      <c r="B29" s="33"/>
      <c r="C29" s="33" t="s">
        <v>76</v>
      </c>
      <c r="D29" s="33"/>
    </row>
    <row r="30" spans="2:4">
      <c r="B30" s="33">
        <f>-B74</f>
        <v>-2.8645837E-2</v>
      </c>
      <c r="C30" s="33"/>
      <c r="D30" s="33">
        <f t="shared" si="0"/>
        <v>-28.645837</v>
      </c>
    </row>
    <row r="31" spans="2:4">
      <c r="B31" s="33"/>
      <c r="C31" s="33" t="s">
        <v>77</v>
      </c>
      <c r="D31" s="33"/>
    </row>
    <row r="32" spans="2:4">
      <c r="B32" s="33">
        <f>-B72</f>
        <v>-2.6041670000000003E-2</v>
      </c>
      <c r="C32" s="33"/>
      <c r="D32" s="33">
        <f t="shared" si="0"/>
        <v>-26.041670000000003</v>
      </c>
    </row>
    <row r="33" spans="2:4">
      <c r="B33" s="33"/>
      <c r="C33" s="33" t="s">
        <v>78</v>
      </c>
      <c r="D33" s="33"/>
    </row>
    <row r="34" spans="2:4">
      <c r="B34" s="33">
        <f>-B70</f>
        <v>-2.3437503000000002E-2</v>
      </c>
      <c r="C34" s="33"/>
      <c r="D34" s="33">
        <f t="shared" si="0"/>
        <v>-23.437503000000003</v>
      </c>
    </row>
    <row r="35" spans="2:4">
      <c r="B35" s="33"/>
      <c r="C35" s="33" t="s">
        <v>79</v>
      </c>
      <c r="D35" s="33"/>
    </row>
    <row r="36" spans="2:4">
      <c r="B36" s="33">
        <f>-B68</f>
        <v>-2.0833336000000001E-2</v>
      </c>
      <c r="C36" s="33"/>
      <c r="D36" s="33">
        <f t="shared" si="0"/>
        <v>-20.833335999999999</v>
      </c>
    </row>
    <row r="37" spans="2:4">
      <c r="B37" s="33"/>
      <c r="C37" s="33" t="s">
        <v>80</v>
      </c>
      <c r="D37" s="33"/>
    </row>
    <row r="38" spans="2:4">
      <c r="B38" s="33">
        <f>-B66</f>
        <v>-1.8229169E-2</v>
      </c>
      <c r="C38" s="33"/>
      <c r="D38" s="33">
        <f t="shared" si="0"/>
        <v>-18.229168999999999</v>
      </c>
    </row>
    <row r="39" spans="2:4">
      <c r="B39" s="33"/>
      <c r="C39" s="33" t="s">
        <v>81</v>
      </c>
      <c r="D39" s="33"/>
    </row>
    <row r="40" spans="2:4">
      <c r="B40" s="33">
        <f>-B64</f>
        <v>-1.5625001999999999E-2</v>
      </c>
      <c r="C40" s="33"/>
      <c r="D40" s="33">
        <f t="shared" si="0"/>
        <v>-15.625001999999999</v>
      </c>
    </row>
    <row r="41" spans="2:4">
      <c r="B41" s="33"/>
      <c r="C41" s="33" t="s">
        <v>82</v>
      </c>
      <c r="D41" s="33"/>
    </row>
    <row r="42" spans="2:4">
      <c r="B42" s="33">
        <f>-B62</f>
        <v>-1.3020835000000001E-2</v>
      </c>
      <c r="C42" s="33"/>
      <c r="D42" s="33">
        <f t="shared" si="0"/>
        <v>-13.020835000000002</v>
      </c>
    </row>
    <row r="43" spans="2:4">
      <c r="B43" s="33"/>
      <c r="C43" s="33" t="s">
        <v>83</v>
      </c>
      <c r="D43" s="33"/>
    </row>
    <row r="44" spans="2:4">
      <c r="B44" s="33">
        <f>-B60</f>
        <v>-1.0416668E-2</v>
      </c>
      <c r="C44" s="33"/>
      <c r="D44" s="33">
        <f t="shared" si="0"/>
        <v>-10.416668</v>
      </c>
    </row>
    <row r="45" spans="2:4">
      <c r="B45" s="33"/>
      <c r="C45" s="33" t="s">
        <v>84</v>
      </c>
      <c r="D45" s="33"/>
    </row>
    <row r="46" spans="2:4">
      <c r="B46" s="33">
        <f>-B58</f>
        <v>-7.8125009999999995E-3</v>
      </c>
      <c r="C46" s="33"/>
      <c r="D46" s="33">
        <f t="shared" si="0"/>
        <v>-7.8125009999999993</v>
      </c>
    </row>
    <row r="47" spans="2:4">
      <c r="B47" s="33"/>
      <c r="C47" s="33" t="s">
        <v>85</v>
      </c>
      <c r="D47" s="33"/>
    </row>
    <row r="48" spans="2:4">
      <c r="B48" s="33">
        <f>-B56</f>
        <v>-5.2083340000000002E-3</v>
      </c>
      <c r="C48" s="33"/>
      <c r="D48" s="33">
        <f t="shared" si="0"/>
        <v>-5.2083339999999998</v>
      </c>
    </row>
    <row r="49" spans="2:4">
      <c r="B49" s="33"/>
      <c r="C49" s="33" t="s">
        <v>86</v>
      </c>
      <c r="D49" s="33"/>
    </row>
    <row r="50" spans="2:4">
      <c r="B50" s="33">
        <f>-B54</f>
        <v>-2.6041670000000001E-3</v>
      </c>
      <c r="C50" s="33"/>
      <c r="D50" s="33">
        <f t="shared" si="0"/>
        <v>-2.6041669999999999</v>
      </c>
    </row>
    <row r="51" spans="2:4">
      <c r="B51" s="33"/>
      <c r="C51" s="33" t="s">
        <v>87</v>
      </c>
      <c r="D51" s="33"/>
    </row>
    <row r="52" spans="2:4">
      <c r="B52" s="33">
        <v>0</v>
      </c>
      <c r="C52" s="33"/>
      <c r="D52" s="33">
        <f t="shared" si="0"/>
        <v>0</v>
      </c>
    </row>
    <row r="53" spans="2:4">
      <c r="B53" s="33"/>
      <c r="C53" s="33" t="s">
        <v>64</v>
      </c>
      <c r="D53" s="33"/>
    </row>
    <row r="54" spans="2:4">
      <c r="B54" s="33">
        <v>2.6041670000000001E-3</v>
      </c>
      <c r="C54" s="33"/>
      <c r="D54" s="33">
        <f t="shared" si="0"/>
        <v>2.6041669999999999</v>
      </c>
    </row>
    <row r="55" spans="2:4">
      <c r="B55" s="33"/>
      <c r="C55" s="33" t="s">
        <v>65</v>
      </c>
      <c r="D55" s="33"/>
    </row>
    <row r="56" spans="2:4">
      <c r="B56" s="33">
        <f>B54*2</f>
        <v>5.2083340000000002E-3</v>
      </c>
      <c r="C56" s="33"/>
      <c r="D56" s="33">
        <f t="shared" si="0"/>
        <v>5.2083339999999998</v>
      </c>
    </row>
    <row r="57" spans="2:4">
      <c r="B57" s="33"/>
      <c r="C57" s="33" t="s">
        <v>66</v>
      </c>
      <c r="D57" s="33"/>
    </row>
    <row r="58" spans="2:4">
      <c r="B58" s="33">
        <f>B54*3</f>
        <v>7.8125009999999995E-3</v>
      </c>
      <c r="C58" s="33"/>
      <c r="D58" s="33">
        <f t="shared" si="0"/>
        <v>7.8125009999999993</v>
      </c>
    </row>
    <row r="59" spans="2:4">
      <c r="B59" s="33"/>
      <c r="C59" s="33" t="s">
        <v>67</v>
      </c>
      <c r="D59" s="33"/>
    </row>
    <row r="60" spans="2:4">
      <c r="B60" s="33">
        <f>$B$54*4</f>
        <v>1.0416668E-2</v>
      </c>
      <c r="C60" s="33"/>
      <c r="D60" s="33">
        <f t="shared" si="0"/>
        <v>10.416668</v>
      </c>
    </row>
    <row r="61" spans="2:4">
      <c r="B61" s="33"/>
      <c r="C61" s="33" t="s">
        <v>68</v>
      </c>
      <c r="D61" s="33"/>
    </row>
    <row r="62" spans="2:4">
      <c r="B62" s="33">
        <f>$B$54*5</f>
        <v>1.3020835000000001E-2</v>
      </c>
      <c r="C62" s="33"/>
      <c r="D62" s="33">
        <f t="shared" si="0"/>
        <v>13.020835000000002</v>
      </c>
    </row>
    <row r="63" spans="2:4">
      <c r="B63" s="33"/>
      <c r="C63" s="33" t="s">
        <v>69</v>
      </c>
      <c r="D63" s="33"/>
    </row>
    <row r="64" spans="2:4">
      <c r="B64" s="33">
        <f>$B$54*6</f>
        <v>1.5625001999999999E-2</v>
      </c>
      <c r="C64" s="33"/>
      <c r="D64" s="33">
        <f t="shared" si="0"/>
        <v>15.625001999999999</v>
      </c>
    </row>
    <row r="65" spans="2:4">
      <c r="B65" s="33"/>
      <c r="C65" s="33" t="s">
        <v>70</v>
      </c>
      <c r="D65" s="33"/>
    </row>
    <row r="66" spans="2:4">
      <c r="B66" s="33">
        <f>$B$54*7</f>
        <v>1.8229169E-2</v>
      </c>
      <c r="C66" s="33"/>
      <c r="D66" s="33">
        <f t="shared" si="0"/>
        <v>18.229168999999999</v>
      </c>
    </row>
    <row r="67" spans="2:4">
      <c r="B67" s="33"/>
      <c r="C67" s="33" t="s">
        <v>71</v>
      </c>
      <c r="D67" s="33"/>
    </row>
    <row r="68" spans="2:4">
      <c r="B68" s="33">
        <f>$B$54*8</f>
        <v>2.0833336000000001E-2</v>
      </c>
      <c r="C68" s="33"/>
      <c r="D68" s="33">
        <f t="shared" si="0"/>
        <v>20.833335999999999</v>
      </c>
    </row>
    <row r="69" spans="2:4">
      <c r="B69" s="33"/>
      <c r="C69" s="33" t="s">
        <v>72</v>
      </c>
      <c r="D69" s="33"/>
    </row>
    <row r="70" spans="2:4">
      <c r="B70" s="33">
        <f>$B$54*9</f>
        <v>2.3437503000000002E-2</v>
      </c>
      <c r="C70" s="33"/>
      <c r="D70" s="33">
        <f t="shared" ref="D70:D100" si="1">B70*1000</f>
        <v>23.437503000000003</v>
      </c>
    </row>
    <row r="71" spans="2:4">
      <c r="B71" s="33"/>
      <c r="C71" s="33" t="s">
        <v>73</v>
      </c>
      <c r="D71" s="33"/>
    </row>
    <row r="72" spans="2:4">
      <c r="B72" s="33">
        <f>$B$54*10</f>
        <v>2.6041670000000003E-2</v>
      </c>
      <c r="C72" s="33"/>
      <c r="D72" s="33">
        <f t="shared" si="1"/>
        <v>26.041670000000003</v>
      </c>
    </row>
    <row r="73" spans="2:4">
      <c r="B73" s="33"/>
      <c r="C73" s="33" t="s">
        <v>74</v>
      </c>
      <c r="D73" s="33"/>
    </row>
    <row r="74" spans="2:4">
      <c r="B74" s="33">
        <f>$B$54*11</f>
        <v>2.8645837E-2</v>
      </c>
      <c r="C74" s="33"/>
      <c r="D74" s="33">
        <f t="shared" si="1"/>
        <v>28.645837</v>
      </c>
    </row>
    <row r="75" spans="2:4">
      <c r="B75" s="33"/>
      <c r="C75" s="33" t="s">
        <v>75</v>
      </c>
      <c r="D75" s="33"/>
    </row>
    <row r="76" spans="2:4">
      <c r="B76" s="33">
        <f>$B$54*12</f>
        <v>3.1250003999999998E-2</v>
      </c>
      <c r="C76" s="33"/>
      <c r="D76" s="33">
        <f t="shared" si="1"/>
        <v>31.250003999999997</v>
      </c>
    </row>
    <row r="77" spans="2:4">
      <c r="B77" s="33"/>
      <c r="C77" s="33" t="s">
        <v>76</v>
      </c>
      <c r="D77" s="33"/>
    </row>
    <row r="78" spans="2:4">
      <c r="B78" s="33">
        <f>$B$54*13</f>
        <v>3.3854171000000002E-2</v>
      </c>
      <c r="C78" s="33"/>
      <c r="D78" s="33">
        <f t="shared" si="1"/>
        <v>33.854171000000001</v>
      </c>
    </row>
    <row r="79" spans="2:4">
      <c r="B79" s="33"/>
      <c r="C79" s="33" t="s">
        <v>77</v>
      </c>
      <c r="D79" s="33"/>
    </row>
    <row r="80" spans="2:4">
      <c r="B80" s="33">
        <f>$B$54*14</f>
        <v>3.6458338E-2</v>
      </c>
      <c r="C80" s="33"/>
      <c r="D80" s="33">
        <f t="shared" si="1"/>
        <v>36.458337999999998</v>
      </c>
    </row>
    <row r="81" spans="2:4">
      <c r="B81" s="33"/>
      <c r="C81" s="33" t="s">
        <v>78</v>
      </c>
      <c r="D81" s="33"/>
    </row>
    <row r="82" spans="2:4">
      <c r="B82" s="33">
        <f>$B$54*15</f>
        <v>3.9062505000000004E-2</v>
      </c>
      <c r="C82" s="33"/>
      <c r="D82" s="33">
        <f t="shared" si="1"/>
        <v>39.062505000000002</v>
      </c>
    </row>
    <row r="83" spans="2:4">
      <c r="B83" s="33"/>
      <c r="C83" s="33" t="s">
        <v>79</v>
      </c>
      <c r="D83" s="33"/>
    </row>
    <row r="84" spans="2:4">
      <c r="B84" s="33">
        <f>$B$54*16</f>
        <v>4.1666672000000002E-2</v>
      </c>
      <c r="C84" s="33"/>
      <c r="D84" s="33">
        <f t="shared" si="1"/>
        <v>41.666671999999998</v>
      </c>
    </row>
    <row r="85" spans="2:4">
      <c r="B85" s="33"/>
      <c r="C85" s="33" t="s">
        <v>80</v>
      </c>
      <c r="D85" s="33"/>
    </row>
    <row r="86" spans="2:4">
      <c r="B86" s="33">
        <f>$B$54*17</f>
        <v>4.4270838999999999E-2</v>
      </c>
      <c r="C86" s="33"/>
      <c r="D86" s="33">
        <f t="shared" si="1"/>
        <v>44.270839000000002</v>
      </c>
    </row>
    <row r="87" spans="2:4">
      <c r="B87" s="33"/>
      <c r="C87" s="33" t="s">
        <v>81</v>
      </c>
      <c r="D87" s="33"/>
    </row>
    <row r="88" spans="2:4">
      <c r="B88" s="33">
        <f>$B$54*18</f>
        <v>4.6875006000000004E-2</v>
      </c>
      <c r="C88" s="33"/>
      <c r="D88" s="33">
        <f t="shared" si="1"/>
        <v>46.875006000000006</v>
      </c>
    </row>
    <row r="89" spans="2:4">
      <c r="B89" s="33"/>
      <c r="C89" s="33" t="s">
        <v>82</v>
      </c>
      <c r="D89" s="33"/>
    </row>
    <row r="90" spans="2:4">
      <c r="B90" s="33">
        <f>$B$54*19</f>
        <v>4.9479173000000001E-2</v>
      </c>
      <c r="C90" s="33"/>
      <c r="D90" s="33">
        <f t="shared" si="1"/>
        <v>49.479173000000003</v>
      </c>
    </row>
    <row r="91" spans="2:4">
      <c r="B91" s="33"/>
      <c r="C91" s="33" t="s">
        <v>83</v>
      </c>
      <c r="D91" s="33"/>
    </row>
    <row r="92" spans="2:4">
      <c r="B92" s="33">
        <f>$B$54*20</f>
        <v>5.2083340000000006E-2</v>
      </c>
      <c r="C92" s="33"/>
      <c r="D92" s="33">
        <f t="shared" si="1"/>
        <v>52.083340000000007</v>
      </c>
    </row>
    <row r="93" spans="2:4">
      <c r="B93" s="33"/>
      <c r="C93" s="33" t="s">
        <v>84</v>
      </c>
      <c r="D93" s="33"/>
    </row>
    <row r="94" spans="2:4">
      <c r="B94" s="33">
        <f>$B$54*21</f>
        <v>5.4687507000000003E-2</v>
      </c>
      <c r="C94" s="33"/>
      <c r="D94" s="33">
        <f t="shared" si="1"/>
        <v>54.687507000000004</v>
      </c>
    </row>
    <row r="95" spans="2:4">
      <c r="B95" s="33"/>
      <c r="C95" s="33" t="s">
        <v>85</v>
      </c>
      <c r="D95" s="33"/>
    </row>
    <row r="96" spans="2:4">
      <c r="B96" s="33">
        <f>$B$54*22</f>
        <v>5.7291674000000001E-2</v>
      </c>
      <c r="C96" s="33"/>
      <c r="D96" s="33">
        <f t="shared" si="1"/>
        <v>57.291674</v>
      </c>
    </row>
    <row r="97" spans="2:4">
      <c r="B97" s="33"/>
      <c r="C97" s="33" t="s">
        <v>86</v>
      </c>
      <c r="D97" s="33"/>
    </row>
    <row r="98" spans="2:4">
      <c r="B98" s="33">
        <f>$B$54*23</f>
        <v>5.9895841000000005E-2</v>
      </c>
      <c r="C98" s="33"/>
      <c r="D98" s="33">
        <f t="shared" si="1"/>
        <v>59.895841000000004</v>
      </c>
    </row>
    <row r="99" spans="2:4">
      <c r="B99" s="33"/>
      <c r="C99" s="33" t="s">
        <v>87</v>
      </c>
      <c r="D99" s="33"/>
    </row>
    <row r="100" spans="2:4" ht="15.75" thickBot="1">
      <c r="B100" s="35">
        <f>$B$54*24</f>
        <v>6.2500007999999996E-2</v>
      </c>
      <c r="C100" s="35"/>
      <c r="D100" s="35">
        <f t="shared" si="1"/>
        <v>62.500007999999994</v>
      </c>
    </row>
    <row r="101" spans="2:4">
      <c r="B101" s="258" t="s">
        <v>224</v>
      </c>
      <c r="C101" s="270"/>
      <c r="D101" s="271"/>
    </row>
    <row r="102" spans="2:4">
      <c r="B102" s="261"/>
      <c r="C102" s="262"/>
      <c r="D102" s="263"/>
    </row>
    <row r="103" spans="2:4">
      <c r="B103" s="261"/>
      <c r="C103" s="262"/>
      <c r="D103" s="263"/>
    </row>
    <row r="104" spans="2:4" ht="15.75" thickBot="1">
      <c r="B104" s="264"/>
      <c r="C104" s="265"/>
      <c r="D104" s="266"/>
    </row>
  </sheetData>
  <mergeCells count="2">
    <mergeCell ref="B2:D2"/>
    <mergeCell ref="B101:D104"/>
  </mergeCells>
  <printOptions horizontalCentered="1" verticalCentered="1"/>
  <pageMargins left="0.7" right="0.7" top="0.5" bottom="0.5" header="0.3" footer="0.3"/>
  <pageSetup scale="99" fitToHeight="2" orientation="portrait" r:id="rId1"/>
  <headerFooter>
    <oddFooter>&amp;CTable 14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B1:D100"/>
  <sheetViews>
    <sheetView workbookViewId="0">
      <selection activeCell="H9" sqref="H9"/>
    </sheetView>
  </sheetViews>
  <sheetFormatPr defaultRowHeight="15"/>
  <cols>
    <col min="1" max="1" width="4.85546875" customWidth="1"/>
    <col min="2" max="2" width="19.140625" style="78" customWidth="1"/>
    <col min="3" max="3" width="9.5703125" customWidth="1"/>
    <col min="4" max="4" width="14.140625" customWidth="1"/>
    <col min="5" max="5" width="4.7109375" customWidth="1"/>
  </cols>
  <sheetData>
    <row r="1" spans="2:4" ht="15.75" thickBot="1"/>
    <row r="2" spans="2:4" ht="15.75" thickBot="1">
      <c r="B2" s="282" t="s">
        <v>88</v>
      </c>
      <c r="C2" s="256"/>
      <c r="D2" s="257"/>
    </row>
    <row r="3" spans="2:4" ht="15.75" thickBot="1">
      <c r="B3" s="79" t="s">
        <v>91</v>
      </c>
      <c r="C3" s="36" t="s">
        <v>63</v>
      </c>
      <c r="D3" s="36" t="s">
        <v>100</v>
      </c>
    </row>
    <row r="4" spans="2:4">
      <c r="B4" s="80">
        <f>-B26*10</f>
        <v>-5.2083299999999997E-3</v>
      </c>
      <c r="C4" s="34"/>
      <c r="D4" s="34">
        <f>B4*1000</f>
        <v>-5.2083300000000001</v>
      </c>
    </row>
    <row r="5" spans="2:4">
      <c r="B5" s="77"/>
      <c r="C5" s="33">
        <v>0</v>
      </c>
      <c r="D5" s="33"/>
    </row>
    <row r="6" spans="2:4">
      <c r="B6" s="77">
        <f>-B26*9</f>
        <v>-4.6874969999999997E-3</v>
      </c>
      <c r="C6" s="33"/>
      <c r="D6" s="33">
        <f t="shared" ref="D6:D44" si="0">B6*1000</f>
        <v>-4.6874969999999996</v>
      </c>
    </row>
    <row r="7" spans="2:4">
      <c r="B7" s="77"/>
      <c r="C7" s="33">
        <v>1</v>
      </c>
      <c r="D7" s="33"/>
    </row>
    <row r="8" spans="2:4">
      <c r="B8" s="77">
        <f>-B26*8</f>
        <v>-4.1666639999999996E-3</v>
      </c>
      <c r="C8" s="33"/>
      <c r="D8" s="33">
        <f t="shared" si="0"/>
        <v>-4.1666639999999999</v>
      </c>
    </row>
    <row r="9" spans="2:4">
      <c r="B9" s="77"/>
      <c r="C9" s="33">
        <v>2</v>
      </c>
      <c r="D9" s="33"/>
    </row>
    <row r="10" spans="2:4">
      <c r="B10" s="77">
        <f>-B26*7</f>
        <v>-3.6458309999999996E-3</v>
      </c>
      <c r="C10" s="33"/>
      <c r="D10" s="33">
        <f t="shared" si="0"/>
        <v>-3.6458309999999994</v>
      </c>
    </row>
    <row r="11" spans="2:4">
      <c r="B11" s="77"/>
      <c r="C11" s="33">
        <v>3</v>
      </c>
      <c r="D11" s="33"/>
    </row>
    <row r="12" spans="2:4">
      <c r="B12" s="77">
        <f>-B26*6</f>
        <v>-3.1249979999999995E-3</v>
      </c>
      <c r="C12" s="33"/>
      <c r="D12" s="33">
        <f t="shared" si="0"/>
        <v>-3.1249979999999993</v>
      </c>
    </row>
    <row r="13" spans="2:4">
      <c r="B13" s="77"/>
      <c r="C13" s="33">
        <v>4</v>
      </c>
      <c r="D13" s="33"/>
    </row>
    <row r="14" spans="2:4">
      <c r="B14" s="77">
        <f>-B26*5</f>
        <v>-2.6041649999999999E-3</v>
      </c>
      <c r="C14" s="33"/>
      <c r="D14" s="33">
        <f t="shared" si="0"/>
        <v>-2.6041650000000001</v>
      </c>
    </row>
    <row r="15" spans="2:4">
      <c r="B15" s="77"/>
      <c r="C15" s="33">
        <v>5</v>
      </c>
      <c r="D15" s="33"/>
    </row>
    <row r="16" spans="2:4">
      <c r="B16" s="77">
        <f>-B26*4</f>
        <v>-2.0833319999999998E-3</v>
      </c>
      <c r="C16" s="33"/>
      <c r="D16" s="33">
        <f t="shared" si="0"/>
        <v>-2.083332</v>
      </c>
    </row>
    <row r="17" spans="2:4">
      <c r="B17" s="77"/>
      <c r="C17" s="33">
        <v>6</v>
      </c>
      <c r="D17" s="33"/>
    </row>
    <row r="18" spans="2:4">
      <c r="B18" s="77">
        <f>-B26*3</f>
        <v>-1.5624989999999997E-3</v>
      </c>
      <c r="C18" s="33"/>
      <c r="D18" s="33">
        <f t="shared" si="0"/>
        <v>-1.5624989999999996</v>
      </c>
    </row>
    <row r="19" spans="2:4">
      <c r="B19" s="77"/>
      <c r="C19" s="33">
        <v>7</v>
      </c>
      <c r="D19" s="33"/>
    </row>
    <row r="20" spans="2:4">
      <c r="B20" s="77">
        <f>-B26*2</f>
        <v>-1.0416659999999999E-3</v>
      </c>
      <c r="C20" s="33"/>
      <c r="D20" s="33">
        <f t="shared" si="0"/>
        <v>-1.041666</v>
      </c>
    </row>
    <row r="21" spans="2:4">
      <c r="B21" s="77"/>
      <c r="C21" s="33">
        <v>8</v>
      </c>
      <c r="D21" s="33"/>
    </row>
    <row r="22" spans="2:4">
      <c r="B22" s="77">
        <f>-B26</f>
        <v>-5.2083299999999995E-4</v>
      </c>
      <c r="C22" s="33"/>
      <c r="D22" s="33">
        <f t="shared" si="0"/>
        <v>-0.52083299999999999</v>
      </c>
    </row>
    <row r="23" spans="2:4">
      <c r="B23" s="77"/>
      <c r="C23" s="33">
        <v>9</v>
      </c>
      <c r="D23" s="33"/>
    </row>
    <row r="24" spans="2:4">
      <c r="B24" s="77">
        <v>0</v>
      </c>
      <c r="C24" s="33"/>
      <c r="D24" s="33">
        <f t="shared" si="0"/>
        <v>0</v>
      </c>
    </row>
    <row r="25" spans="2:4">
      <c r="B25" s="77"/>
      <c r="C25" s="33">
        <v>0</v>
      </c>
      <c r="D25" s="33"/>
    </row>
    <row r="26" spans="2:4">
      <c r="B26" s="77">
        <v>5.2083299999999995E-4</v>
      </c>
      <c r="C26" s="33"/>
      <c r="D26" s="33">
        <f t="shared" si="0"/>
        <v>0.52083299999999999</v>
      </c>
    </row>
    <row r="27" spans="2:4">
      <c r="B27" s="77"/>
      <c r="C27" s="33">
        <v>1</v>
      </c>
      <c r="D27" s="33"/>
    </row>
    <row r="28" spans="2:4">
      <c r="B28" s="77">
        <f>B26*2</f>
        <v>1.0416659999999999E-3</v>
      </c>
      <c r="C28" s="33"/>
      <c r="D28" s="33">
        <f t="shared" si="0"/>
        <v>1.041666</v>
      </c>
    </row>
    <row r="29" spans="2:4">
      <c r="B29" s="77"/>
      <c r="C29" s="33">
        <v>2</v>
      </c>
      <c r="D29" s="33"/>
    </row>
    <row r="30" spans="2:4">
      <c r="B30" s="77">
        <f>B26*3</f>
        <v>1.5624989999999997E-3</v>
      </c>
      <c r="C30" s="33"/>
      <c r="D30" s="33">
        <f t="shared" si="0"/>
        <v>1.5624989999999996</v>
      </c>
    </row>
    <row r="31" spans="2:4">
      <c r="B31" s="77"/>
      <c r="C31" s="33">
        <v>3</v>
      </c>
      <c r="D31" s="33"/>
    </row>
    <row r="32" spans="2:4">
      <c r="B32" s="77">
        <f>B26*4</f>
        <v>2.0833319999999998E-3</v>
      </c>
      <c r="C32" s="33"/>
      <c r="D32" s="33">
        <f t="shared" si="0"/>
        <v>2.083332</v>
      </c>
    </row>
    <row r="33" spans="2:4">
      <c r="B33" s="77"/>
      <c r="C33" s="33">
        <v>4</v>
      </c>
      <c r="D33" s="33"/>
    </row>
    <row r="34" spans="2:4">
      <c r="B34" s="77">
        <f>B26*5</f>
        <v>2.6041649999999999E-3</v>
      </c>
      <c r="C34" s="33"/>
      <c r="D34" s="33">
        <f t="shared" si="0"/>
        <v>2.6041650000000001</v>
      </c>
    </row>
    <row r="35" spans="2:4">
      <c r="B35" s="77"/>
      <c r="C35" s="33">
        <v>5</v>
      </c>
      <c r="D35" s="33"/>
    </row>
    <row r="36" spans="2:4">
      <c r="B36" s="77">
        <f>B26*6</f>
        <v>3.1249979999999995E-3</v>
      </c>
      <c r="C36" s="33"/>
      <c r="D36" s="33">
        <f t="shared" si="0"/>
        <v>3.1249979999999993</v>
      </c>
    </row>
    <row r="37" spans="2:4">
      <c r="B37" s="77"/>
      <c r="C37" s="33">
        <v>6</v>
      </c>
      <c r="D37" s="33"/>
    </row>
    <row r="38" spans="2:4">
      <c r="B38" s="77">
        <f>B26*7</f>
        <v>3.6458309999999996E-3</v>
      </c>
      <c r="C38" s="33"/>
      <c r="D38" s="33">
        <f t="shared" si="0"/>
        <v>3.6458309999999994</v>
      </c>
    </row>
    <row r="39" spans="2:4">
      <c r="B39" s="77"/>
      <c r="C39" s="33">
        <v>7</v>
      </c>
      <c r="D39" s="33"/>
    </row>
    <row r="40" spans="2:4">
      <c r="B40" s="77">
        <f>B26*8</f>
        <v>4.1666639999999996E-3</v>
      </c>
      <c r="C40" s="33"/>
      <c r="D40" s="33">
        <f t="shared" si="0"/>
        <v>4.1666639999999999</v>
      </c>
    </row>
    <row r="41" spans="2:4">
      <c r="B41" s="77"/>
      <c r="C41" s="33">
        <v>8</v>
      </c>
      <c r="D41" s="33"/>
    </row>
    <row r="42" spans="2:4">
      <c r="B42" s="77">
        <f>B26*9</f>
        <v>4.6874969999999997E-3</v>
      </c>
      <c r="C42" s="33"/>
      <c r="D42" s="33">
        <f t="shared" si="0"/>
        <v>4.6874969999999996</v>
      </c>
    </row>
    <row r="43" spans="2:4">
      <c r="B43" s="77"/>
      <c r="C43" s="33">
        <v>9</v>
      </c>
      <c r="D43" s="33"/>
    </row>
    <row r="44" spans="2:4" ht="15.75" thickBot="1">
      <c r="B44" s="81">
        <f>B26*10</f>
        <v>5.2083299999999997E-3</v>
      </c>
      <c r="C44" s="35"/>
      <c r="D44" s="35">
        <f t="shared" si="0"/>
        <v>5.2083300000000001</v>
      </c>
    </row>
    <row r="45" spans="2:4">
      <c r="B45" s="287" t="s">
        <v>225</v>
      </c>
      <c r="C45" s="270"/>
      <c r="D45" s="271"/>
    </row>
    <row r="46" spans="2:4">
      <c r="B46" s="261"/>
      <c r="C46" s="262"/>
      <c r="D46" s="263"/>
    </row>
    <row r="47" spans="2:4">
      <c r="B47" s="261"/>
      <c r="C47" s="262"/>
      <c r="D47" s="263"/>
    </row>
    <row r="48" spans="2:4" ht="15.75" thickBot="1">
      <c r="B48" s="264"/>
      <c r="C48" s="265"/>
      <c r="D48" s="266"/>
    </row>
    <row r="49" spans="2:4">
      <c r="B49" s="82"/>
      <c r="C49" s="8"/>
      <c r="D49" s="8"/>
    </row>
    <row r="50" spans="2:4">
      <c r="B50" s="82"/>
      <c r="C50" s="8"/>
      <c r="D50" s="8"/>
    </row>
    <row r="51" spans="2:4">
      <c r="B51" s="82"/>
      <c r="C51" s="8"/>
      <c r="D51" s="8"/>
    </row>
    <row r="52" spans="2:4">
      <c r="B52" s="82"/>
      <c r="C52" s="8"/>
      <c r="D52" s="8"/>
    </row>
    <row r="53" spans="2:4">
      <c r="B53" s="82"/>
      <c r="C53" s="8"/>
      <c r="D53" s="8"/>
    </row>
    <row r="54" spans="2:4">
      <c r="B54" s="82"/>
      <c r="C54" s="8"/>
      <c r="D54" s="8"/>
    </row>
    <row r="55" spans="2:4">
      <c r="B55" s="82"/>
      <c r="C55" s="8"/>
      <c r="D55" s="8"/>
    </row>
    <row r="56" spans="2:4">
      <c r="B56" s="82"/>
      <c r="C56" s="8"/>
      <c r="D56" s="8"/>
    </row>
    <row r="57" spans="2:4">
      <c r="B57" s="82"/>
      <c r="C57" s="8"/>
      <c r="D57" s="8"/>
    </row>
    <row r="58" spans="2:4">
      <c r="B58" s="82"/>
      <c r="C58" s="8"/>
      <c r="D58" s="8"/>
    </row>
    <row r="59" spans="2:4">
      <c r="B59" s="82"/>
      <c r="C59" s="8"/>
      <c r="D59" s="8"/>
    </row>
    <row r="60" spans="2:4">
      <c r="B60" s="82"/>
      <c r="C60" s="8"/>
      <c r="D60" s="8"/>
    </row>
    <row r="61" spans="2:4">
      <c r="B61" s="82"/>
      <c r="C61" s="8"/>
      <c r="D61" s="8"/>
    </row>
    <row r="62" spans="2:4">
      <c r="B62" s="82"/>
      <c r="C62" s="8"/>
      <c r="D62" s="8"/>
    </row>
    <row r="63" spans="2:4">
      <c r="B63" s="82"/>
      <c r="C63" s="8"/>
      <c r="D63" s="8"/>
    </row>
    <row r="64" spans="2:4">
      <c r="B64" s="82"/>
      <c r="C64" s="8"/>
      <c r="D64" s="8"/>
    </row>
    <row r="65" spans="2:4">
      <c r="B65" s="82"/>
      <c r="C65" s="8"/>
      <c r="D65" s="8"/>
    </row>
    <row r="66" spans="2:4">
      <c r="B66" s="82"/>
      <c r="C66" s="8"/>
      <c r="D66" s="8"/>
    </row>
    <row r="67" spans="2:4">
      <c r="B67" s="82"/>
      <c r="C67" s="8"/>
      <c r="D67" s="8"/>
    </row>
    <row r="68" spans="2:4">
      <c r="B68" s="82"/>
      <c r="C68" s="8"/>
      <c r="D68" s="8"/>
    </row>
    <row r="69" spans="2:4">
      <c r="B69" s="82"/>
      <c r="C69" s="8"/>
      <c r="D69" s="8"/>
    </row>
    <row r="70" spans="2:4">
      <c r="B70" s="82"/>
      <c r="C70" s="8"/>
      <c r="D70" s="8"/>
    </row>
    <row r="71" spans="2:4">
      <c r="B71" s="82"/>
      <c r="C71" s="8"/>
      <c r="D71" s="8"/>
    </row>
    <row r="72" spans="2:4">
      <c r="B72" s="82"/>
      <c r="C72" s="8"/>
      <c r="D72" s="8"/>
    </row>
    <row r="73" spans="2:4">
      <c r="B73" s="82"/>
      <c r="C73" s="8"/>
      <c r="D73" s="8"/>
    </row>
    <row r="74" spans="2:4">
      <c r="B74" s="82"/>
      <c r="C74" s="8"/>
      <c r="D74" s="8"/>
    </row>
    <row r="75" spans="2:4">
      <c r="B75" s="82"/>
      <c r="C75" s="8"/>
      <c r="D75" s="8"/>
    </row>
    <row r="76" spans="2:4">
      <c r="B76" s="82"/>
      <c r="C76" s="8"/>
      <c r="D76" s="8"/>
    </row>
    <row r="77" spans="2:4">
      <c r="B77" s="82"/>
      <c r="C77" s="8"/>
      <c r="D77" s="8"/>
    </row>
    <row r="78" spans="2:4">
      <c r="B78" s="82"/>
      <c r="C78" s="8"/>
      <c r="D78" s="8"/>
    </row>
    <row r="79" spans="2:4">
      <c r="B79" s="82"/>
      <c r="C79" s="8"/>
      <c r="D79" s="8"/>
    </row>
    <row r="80" spans="2:4">
      <c r="B80" s="82"/>
      <c r="C80" s="8"/>
      <c r="D80" s="8"/>
    </row>
    <row r="81" spans="2:4">
      <c r="B81" s="82"/>
      <c r="C81" s="8"/>
      <c r="D81" s="8"/>
    </row>
    <row r="82" spans="2:4">
      <c r="B82" s="82"/>
      <c r="C82" s="8"/>
      <c r="D82" s="8"/>
    </row>
    <row r="83" spans="2:4">
      <c r="B83" s="82"/>
      <c r="C83" s="8"/>
      <c r="D83" s="8"/>
    </row>
    <row r="84" spans="2:4">
      <c r="B84" s="82"/>
      <c r="C84" s="8"/>
      <c r="D84" s="8"/>
    </row>
    <row r="85" spans="2:4">
      <c r="B85" s="82"/>
      <c r="C85" s="8"/>
      <c r="D85" s="8"/>
    </row>
    <row r="86" spans="2:4">
      <c r="B86" s="82"/>
      <c r="C86" s="8"/>
      <c r="D86" s="8"/>
    </row>
    <row r="87" spans="2:4">
      <c r="B87" s="82"/>
      <c r="C87" s="8"/>
      <c r="D87" s="8"/>
    </row>
    <row r="88" spans="2:4">
      <c r="B88" s="82"/>
      <c r="C88" s="8"/>
      <c r="D88" s="8"/>
    </row>
    <row r="89" spans="2:4">
      <c r="B89" s="82"/>
      <c r="C89" s="8"/>
      <c r="D89" s="8"/>
    </row>
    <row r="90" spans="2:4">
      <c r="B90" s="82"/>
      <c r="C90" s="8"/>
      <c r="D90" s="8"/>
    </row>
    <row r="91" spans="2:4">
      <c r="B91" s="82"/>
      <c r="C91" s="8"/>
      <c r="D91" s="8"/>
    </row>
    <row r="92" spans="2:4">
      <c r="B92" s="82"/>
      <c r="C92" s="8"/>
      <c r="D92" s="8"/>
    </row>
    <row r="93" spans="2:4">
      <c r="B93" s="82"/>
      <c r="C93" s="8"/>
      <c r="D93" s="8"/>
    </row>
    <row r="94" spans="2:4">
      <c r="B94" s="82"/>
      <c r="C94" s="8"/>
      <c r="D94" s="8"/>
    </row>
    <row r="95" spans="2:4">
      <c r="B95" s="82"/>
      <c r="C95" s="8"/>
      <c r="D95" s="8"/>
    </row>
    <row r="96" spans="2:4">
      <c r="B96" s="82"/>
      <c r="C96" s="8"/>
      <c r="D96" s="8"/>
    </row>
    <row r="97" spans="2:4">
      <c r="B97" s="82"/>
      <c r="C97" s="8"/>
      <c r="D97" s="8"/>
    </row>
    <row r="98" spans="2:4">
      <c r="B98" s="82"/>
      <c r="C98" s="8"/>
      <c r="D98" s="8"/>
    </row>
    <row r="99" spans="2:4">
      <c r="B99" s="82"/>
      <c r="C99" s="8"/>
      <c r="D99" s="8"/>
    </row>
    <row r="100" spans="2:4">
      <c r="B100" s="82"/>
      <c r="C100" s="8"/>
      <c r="D100" s="8"/>
    </row>
  </sheetData>
  <mergeCells count="2">
    <mergeCell ref="B2:D2"/>
    <mergeCell ref="B45:D48"/>
  </mergeCells>
  <printOptions horizontalCentered="1" verticalCentered="1"/>
  <pageMargins left="0.7" right="0.7" top="0.5" bottom="0.5" header="0.3" footer="0.3"/>
  <pageSetup orientation="portrait" r:id="rId1"/>
  <headerFooter>
    <oddFooter>&amp;CTable 15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B1:D48"/>
  <sheetViews>
    <sheetView workbookViewId="0">
      <selection activeCell="K29" sqref="K29"/>
    </sheetView>
  </sheetViews>
  <sheetFormatPr defaultRowHeight="15"/>
  <cols>
    <col min="1" max="1" width="4.7109375" customWidth="1"/>
    <col min="2" max="2" width="15.5703125" customWidth="1"/>
    <col min="4" max="4" width="13.7109375" customWidth="1"/>
    <col min="5" max="5" width="4.85546875" customWidth="1"/>
  </cols>
  <sheetData>
    <row r="1" spans="2:4" ht="15.75" thickBot="1"/>
    <row r="2" spans="2:4" ht="15.75" thickBot="1">
      <c r="B2" s="280" t="s">
        <v>89</v>
      </c>
      <c r="C2" s="268"/>
      <c r="D2" s="269"/>
    </row>
    <row r="3" spans="2:4" ht="15.75" thickBot="1">
      <c r="B3" s="79" t="s">
        <v>91</v>
      </c>
      <c r="C3" s="36" t="s">
        <v>63</v>
      </c>
      <c r="D3" s="36" t="s">
        <v>100</v>
      </c>
    </row>
    <row r="4" spans="2:4">
      <c r="B4" s="80">
        <f>-B26*10</f>
        <v>-2.6041669999999999E-4</v>
      </c>
      <c r="C4" s="34"/>
      <c r="D4" s="34">
        <f>B4*1000</f>
        <v>-0.2604167</v>
      </c>
    </row>
    <row r="5" spans="2:4">
      <c r="B5" s="77"/>
      <c r="C5" s="33">
        <v>0</v>
      </c>
      <c r="D5" s="33"/>
    </row>
    <row r="6" spans="2:4">
      <c r="B6" s="77">
        <f>-B26*9</f>
        <v>-2.3437503000000001E-4</v>
      </c>
      <c r="C6" s="33"/>
      <c r="D6" s="33">
        <f t="shared" ref="D6:D44" si="0">B6*1000</f>
        <v>-0.23437503000000001</v>
      </c>
    </row>
    <row r="7" spans="2:4">
      <c r="B7" s="77"/>
      <c r="C7" s="33">
        <v>1</v>
      </c>
      <c r="D7" s="33"/>
    </row>
    <row r="8" spans="2:4">
      <c r="B8" s="77">
        <f>-B26*8</f>
        <v>-2.0833336E-4</v>
      </c>
      <c r="C8" s="33"/>
      <c r="D8" s="33">
        <f t="shared" si="0"/>
        <v>-0.20833336</v>
      </c>
    </row>
    <row r="9" spans="2:4">
      <c r="B9" s="77"/>
      <c r="C9" s="33">
        <v>2</v>
      </c>
      <c r="D9" s="33"/>
    </row>
    <row r="10" spans="2:4">
      <c r="B10" s="77">
        <f>-B26*7</f>
        <v>-1.8229168999999999E-4</v>
      </c>
      <c r="C10" s="33"/>
      <c r="D10" s="33">
        <f t="shared" si="0"/>
        <v>-0.18229168999999998</v>
      </c>
    </row>
    <row r="11" spans="2:4">
      <c r="B11" s="77"/>
      <c r="C11" s="33">
        <v>3</v>
      </c>
      <c r="D11" s="33"/>
    </row>
    <row r="12" spans="2:4">
      <c r="B12" s="77">
        <f>-B26*6</f>
        <v>-1.5625002E-4</v>
      </c>
      <c r="C12" s="33"/>
      <c r="D12" s="33">
        <f t="shared" si="0"/>
        <v>-0.15625002000000002</v>
      </c>
    </row>
    <row r="13" spans="2:4">
      <c r="B13" s="77"/>
      <c r="C13" s="33">
        <v>4</v>
      </c>
      <c r="D13" s="33"/>
    </row>
    <row r="14" spans="2:4">
      <c r="B14" s="77">
        <f>-B26*5</f>
        <v>-1.3020834999999999E-4</v>
      </c>
      <c r="C14" s="33"/>
      <c r="D14" s="33">
        <f t="shared" si="0"/>
        <v>-0.13020835</v>
      </c>
    </row>
    <row r="15" spans="2:4">
      <c r="B15" s="77"/>
      <c r="C15" s="33">
        <v>5</v>
      </c>
      <c r="D15" s="33"/>
    </row>
    <row r="16" spans="2:4">
      <c r="B16" s="77">
        <f>-B26*4</f>
        <v>-1.0416668E-4</v>
      </c>
      <c r="C16" s="33"/>
      <c r="D16" s="33">
        <f t="shared" si="0"/>
        <v>-0.10416668</v>
      </c>
    </row>
    <row r="17" spans="2:4">
      <c r="B17" s="77"/>
      <c r="C17" s="33">
        <v>6</v>
      </c>
      <c r="D17" s="33"/>
    </row>
    <row r="18" spans="2:4">
      <c r="B18" s="77">
        <f>-B26*3</f>
        <v>-7.8125010000000002E-5</v>
      </c>
      <c r="C18" s="33"/>
      <c r="D18" s="33">
        <f t="shared" si="0"/>
        <v>-7.8125010000000009E-2</v>
      </c>
    </row>
    <row r="19" spans="2:4">
      <c r="B19" s="77"/>
      <c r="C19" s="33">
        <v>7</v>
      </c>
      <c r="D19" s="33"/>
    </row>
    <row r="20" spans="2:4">
      <c r="B20" s="77">
        <f>-B26*2</f>
        <v>-5.2083339999999999E-5</v>
      </c>
      <c r="C20" s="33"/>
      <c r="D20" s="33">
        <f t="shared" si="0"/>
        <v>-5.2083339999999999E-2</v>
      </c>
    </row>
    <row r="21" spans="2:4">
      <c r="B21" s="77"/>
      <c r="C21" s="33">
        <v>8</v>
      </c>
      <c r="D21" s="33"/>
    </row>
    <row r="22" spans="2:4">
      <c r="B22" s="77">
        <f>-B26</f>
        <v>-2.604167E-5</v>
      </c>
      <c r="C22" s="33"/>
      <c r="D22" s="33">
        <f t="shared" si="0"/>
        <v>-2.6041669999999999E-2</v>
      </c>
    </row>
    <row r="23" spans="2:4">
      <c r="B23" s="77"/>
      <c r="C23" s="33">
        <v>9</v>
      </c>
      <c r="D23" s="33"/>
    </row>
    <row r="24" spans="2:4">
      <c r="B24" s="77">
        <v>0</v>
      </c>
      <c r="C24" s="33"/>
      <c r="D24" s="33">
        <f t="shared" si="0"/>
        <v>0</v>
      </c>
    </row>
    <row r="25" spans="2:4">
      <c r="B25" s="77"/>
      <c r="C25" s="33">
        <v>0</v>
      </c>
      <c r="D25" s="33"/>
    </row>
    <row r="26" spans="2:4">
      <c r="B26" s="77">
        <v>2.604167E-5</v>
      </c>
      <c r="C26" s="33"/>
      <c r="D26" s="33">
        <f t="shared" si="0"/>
        <v>2.6041669999999999E-2</v>
      </c>
    </row>
    <row r="27" spans="2:4">
      <c r="B27" s="77"/>
      <c r="C27" s="33">
        <v>1</v>
      </c>
      <c r="D27" s="33"/>
    </row>
    <row r="28" spans="2:4">
      <c r="B28" s="77">
        <f>B26*2</f>
        <v>5.2083339999999999E-5</v>
      </c>
      <c r="C28" s="33"/>
      <c r="D28" s="33">
        <f t="shared" si="0"/>
        <v>5.2083339999999999E-2</v>
      </c>
    </row>
    <row r="29" spans="2:4">
      <c r="B29" s="77"/>
      <c r="C29" s="33">
        <v>2</v>
      </c>
      <c r="D29" s="33"/>
    </row>
    <row r="30" spans="2:4">
      <c r="B30" s="77">
        <f>B26*3</f>
        <v>7.8125010000000002E-5</v>
      </c>
      <c r="C30" s="33"/>
      <c r="D30" s="33">
        <f t="shared" si="0"/>
        <v>7.8125010000000009E-2</v>
      </c>
    </row>
    <row r="31" spans="2:4">
      <c r="B31" s="77"/>
      <c r="C31" s="33">
        <v>3</v>
      </c>
      <c r="D31" s="33"/>
    </row>
    <row r="32" spans="2:4">
      <c r="B32" s="77">
        <f>B26*4</f>
        <v>1.0416668E-4</v>
      </c>
      <c r="C32" s="33"/>
      <c r="D32" s="33">
        <f t="shared" si="0"/>
        <v>0.10416668</v>
      </c>
    </row>
    <row r="33" spans="2:4">
      <c r="B33" s="77"/>
      <c r="C33" s="33">
        <v>4</v>
      </c>
      <c r="D33" s="33"/>
    </row>
    <row r="34" spans="2:4">
      <c r="B34" s="77">
        <f>B26*5</f>
        <v>1.3020834999999999E-4</v>
      </c>
      <c r="C34" s="33"/>
      <c r="D34" s="33">
        <f t="shared" si="0"/>
        <v>0.13020835</v>
      </c>
    </row>
    <row r="35" spans="2:4">
      <c r="B35" s="77"/>
      <c r="C35" s="33">
        <v>5</v>
      </c>
      <c r="D35" s="33"/>
    </row>
    <row r="36" spans="2:4">
      <c r="B36" s="77">
        <f>B26*6</f>
        <v>1.5625002E-4</v>
      </c>
      <c r="C36" s="33"/>
      <c r="D36" s="33">
        <f t="shared" si="0"/>
        <v>0.15625002000000002</v>
      </c>
    </row>
    <row r="37" spans="2:4">
      <c r="B37" s="77"/>
      <c r="C37" s="33">
        <v>6</v>
      </c>
      <c r="D37" s="33"/>
    </row>
    <row r="38" spans="2:4">
      <c r="B38" s="77">
        <f>B26*7</f>
        <v>1.8229168999999999E-4</v>
      </c>
      <c r="C38" s="33"/>
      <c r="D38" s="33">
        <f t="shared" si="0"/>
        <v>0.18229168999999998</v>
      </c>
    </row>
    <row r="39" spans="2:4">
      <c r="B39" s="77"/>
      <c r="C39" s="33">
        <v>7</v>
      </c>
      <c r="D39" s="33"/>
    </row>
    <row r="40" spans="2:4">
      <c r="B40" s="77">
        <f>B26*8</f>
        <v>2.0833336E-4</v>
      </c>
      <c r="C40" s="33"/>
      <c r="D40" s="33">
        <f t="shared" si="0"/>
        <v>0.20833336</v>
      </c>
    </row>
    <row r="41" spans="2:4">
      <c r="B41" s="77"/>
      <c r="C41" s="33">
        <v>8</v>
      </c>
      <c r="D41" s="33"/>
    </row>
    <row r="42" spans="2:4">
      <c r="B42" s="77">
        <f>B26*9</f>
        <v>2.3437503000000001E-4</v>
      </c>
      <c r="C42" s="33"/>
      <c r="D42" s="33">
        <f t="shared" si="0"/>
        <v>0.23437503000000001</v>
      </c>
    </row>
    <row r="43" spans="2:4">
      <c r="B43" s="77"/>
      <c r="C43" s="33">
        <v>9</v>
      </c>
      <c r="D43" s="33"/>
    </row>
    <row r="44" spans="2:4" ht="15.75" thickBot="1">
      <c r="B44" s="81">
        <f>B26*10</f>
        <v>2.6041669999999999E-4</v>
      </c>
      <c r="C44" s="35"/>
      <c r="D44" s="35">
        <f t="shared" si="0"/>
        <v>0.2604167</v>
      </c>
    </row>
    <row r="45" spans="2:4">
      <c r="B45" s="258" t="s">
        <v>226</v>
      </c>
      <c r="C45" s="270"/>
      <c r="D45" s="271"/>
    </row>
    <row r="46" spans="2:4">
      <c r="B46" s="261"/>
      <c r="C46" s="262"/>
      <c r="D46" s="263"/>
    </row>
    <row r="47" spans="2:4">
      <c r="B47" s="261"/>
      <c r="C47" s="262"/>
      <c r="D47" s="263"/>
    </row>
    <row r="48" spans="2:4" ht="15.75" thickBot="1">
      <c r="B48" s="264"/>
      <c r="C48" s="265"/>
      <c r="D48" s="266"/>
    </row>
  </sheetData>
  <mergeCells count="2">
    <mergeCell ref="B2:D2"/>
    <mergeCell ref="B45:D48"/>
  </mergeCells>
  <printOptions horizontalCentered="1" verticalCentered="1"/>
  <pageMargins left="0.7" right="0.7" top="0.5" bottom="0.5" header="0.3" footer="0.3"/>
  <pageSetup orientation="portrait" r:id="rId1"/>
  <headerFooter>
    <oddFooter>&amp;CTable 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E7"/>
  <sheetViews>
    <sheetView workbookViewId="0">
      <selection activeCell="F2" sqref="F2"/>
    </sheetView>
  </sheetViews>
  <sheetFormatPr defaultRowHeight="15"/>
  <cols>
    <col min="1" max="1" width="4.5703125" customWidth="1"/>
    <col min="2" max="2" width="30.42578125" customWidth="1"/>
    <col min="3" max="3" width="12.85546875" customWidth="1"/>
    <col min="4" max="4" width="15.5703125" customWidth="1"/>
    <col min="5" max="5" width="10" customWidth="1"/>
  </cols>
  <sheetData>
    <row r="1" spans="2:5" ht="15.75" thickBot="1"/>
    <row r="2" spans="2:5" ht="15.75" thickBot="1">
      <c r="B2" s="127"/>
      <c r="C2" s="124" t="s">
        <v>89</v>
      </c>
      <c r="D2" s="121" t="s">
        <v>88</v>
      </c>
    </row>
    <row r="3" spans="2:5" ht="15.75" thickTop="1">
      <c r="B3" s="128" t="s">
        <v>166</v>
      </c>
      <c r="C3" s="125">
        <v>38</v>
      </c>
      <c r="D3" s="123">
        <v>-102</v>
      </c>
    </row>
    <row r="4" spans="2:5">
      <c r="B4" s="129" t="s">
        <v>167</v>
      </c>
      <c r="C4" s="126">
        <v>18.67625998266675</v>
      </c>
      <c r="D4" s="122">
        <v>17.507751737983313</v>
      </c>
    </row>
    <row r="5" spans="2:5" ht="15.75" thickBot="1">
      <c r="B5" s="130"/>
      <c r="C5" s="131"/>
      <c r="D5" s="132"/>
    </row>
    <row r="6" spans="2:5" ht="16.5" thickTop="1" thickBot="1">
      <c r="B6" s="133" t="s">
        <v>168</v>
      </c>
      <c r="C6" s="134">
        <f>IF(C3&gt;0,ABS(C3)+(C4/60)+(C5/3600),-(ABS(C3)+(C4/60)+(C5/3600)))</f>
        <v>38.311270999711112</v>
      </c>
      <c r="D6" s="135">
        <f>IF(D3&gt;0,ABS(D3)+(D4/60)+(D5/3600),-(ABS(D3)+(D4/60)+(D5/3600)))</f>
        <v>-102.29179586229972</v>
      </c>
      <c r="E6" t="s">
        <v>169</v>
      </c>
    </row>
    <row r="7" spans="2:5" ht="19.5" thickBot="1">
      <c r="B7" s="232" t="s">
        <v>185</v>
      </c>
      <c r="C7" s="233"/>
      <c r="D7" s="234"/>
    </row>
  </sheetData>
  <mergeCells count="1">
    <mergeCell ref="B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E8"/>
  <sheetViews>
    <sheetView workbookViewId="0">
      <selection activeCell="G2" sqref="G2"/>
    </sheetView>
  </sheetViews>
  <sheetFormatPr defaultRowHeight="15"/>
  <cols>
    <col min="1" max="1" width="4.7109375" customWidth="1"/>
    <col min="2" max="2" width="30.5703125" style="91" customWidth="1"/>
    <col min="3" max="3" width="14.7109375" style="1" customWidth="1"/>
    <col min="4" max="4" width="14.42578125" style="1" customWidth="1"/>
  </cols>
  <sheetData>
    <row r="1" spans="2:5" ht="15.75" thickBot="1"/>
    <row r="2" spans="2:5" ht="15.75" thickBot="1">
      <c r="B2" s="127"/>
      <c r="C2" s="124" t="s">
        <v>89</v>
      </c>
      <c r="D2" s="121" t="s">
        <v>88</v>
      </c>
    </row>
    <row r="3" spans="2:5" ht="15.75" thickTop="1">
      <c r="B3" s="128" t="s">
        <v>166</v>
      </c>
      <c r="C3" s="125">
        <v>38</v>
      </c>
      <c r="D3" s="123">
        <v>-102</v>
      </c>
    </row>
    <row r="4" spans="2:5">
      <c r="B4" s="129" t="s">
        <v>167</v>
      </c>
      <c r="C4" s="126">
        <v>18</v>
      </c>
      <c r="D4" s="122">
        <v>17</v>
      </c>
    </row>
    <row r="5" spans="2:5">
      <c r="B5" s="129" t="s">
        <v>208</v>
      </c>
      <c r="C5" s="126">
        <v>40.575598960005024</v>
      </c>
      <c r="D5" s="122">
        <v>30.46510427899878</v>
      </c>
    </row>
    <row r="6" spans="2:5" ht="15.75" thickBot="1">
      <c r="B6" s="130"/>
      <c r="C6" s="136"/>
      <c r="D6" s="137"/>
    </row>
    <row r="7" spans="2:5" ht="16.5" thickTop="1" thickBot="1">
      <c r="B7" s="133" t="s">
        <v>168</v>
      </c>
      <c r="C7" s="134">
        <f>IF(C3&gt;0,ABS(C3)+(C4/60)+(C5/3600),-(ABS(C3)+(C4/60)+(C5/3600)))</f>
        <v>38.311270999711112</v>
      </c>
      <c r="D7" s="135">
        <f>IF(D3&gt;0,ABS(D3)+(D4/60)+(D5/3600),-(ABS(D3)+(D4/60)+(D5/3600)))</f>
        <v>-102.29179586229972</v>
      </c>
      <c r="E7" t="s">
        <v>169</v>
      </c>
    </row>
    <row r="8" spans="2:5" ht="19.5" thickBot="1">
      <c r="B8" s="232" t="s">
        <v>186</v>
      </c>
      <c r="C8" s="233"/>
      <c r="D8" s="234"/>
    </row>
  </sheetData>
  <mergeCells count="1">
    <mergeCell ref="B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53"/>
  <sheetViews>
    <sheetView workbookViewId="0">
      <selection activeCell="G18" sqref="G18"/>
    </sheetView>
  </sheetViews>
  <sheetFormatPr defaultRowHeight="15"/>
  <cols>
    <col min="1" max="1" width="4.5703125" customWidth="1"/>
    <col min="2" max="2" width="28.85546875" customWidth="1"/>
    <col min="3" max="3" width="11.42578125" style="74" customWidth="1"/>
    <col min="5" max="5" width="23.7109375" bestFit="1" customWidth="1"/>
    <col min="6" max="6" width="4.7109375" customWidth="1"/>
    <col min="7" max="7" width="13.140625" customWidth="1"/>
    <col min="8" max="8" width="16.7109375" style="1" customWidth="1"/>
    <col min="9" max="9" width="10.28515625" style="1" customWidth="1"/>
    <col min="10" max="10" width="10.42578125" style="1" customWidth="1"/>
    <col min="11" max="11" width="10.140625" style="1" customWidth="1"/>
    <col min="12" max="12" width="9.5703125" style="1" bestFit="1" customWidth="1"/>
    <col min="13" max="13" width="12.42578125" style="1" customWidth="1"/>
  </cols>
  <sheetData>
    <row r="1" spans="2:13" ht="15.75" thickBot="1"/>
    <row r="2" spans="2:13" ht="15.75" thickBot="1">
      <c r="B2" s="183"/>
      <c r="C2" s="184"/>
      <c r="D2" s="185"/>
      <c r="E2" s="185"/>
      <c r="F2" s="185"/>
      <c r="G2" s="186"/>
      <c r="H2" s="90" t="s">
        <v>160</v>
      </c>
      <c r="I2" s="87" t="s">
        <v>90</v>
      </c>
      <c r="J2" s="89" t="s">
        <v>92</v>
      </c>
      <c r="K2" s="87" t="s">
        <v>90</v>
      </c>
      <c r="L2" s="88" t="s">
        <v>92</v>
      </c>
      <c r="M2" s="89" t="s">
        <v>91</v>
      </c>
    </row>
    <row r="3" spans="2:13" ht="15.75" thickTop="1">
      <c r="B3" s="246" t="s">
        <v>112</v>
      </c>
      <c r="C3" s="248" t="s">
        <v>178</v>
      </c>
      <c r="D3" s="248"/>
      <c r="E3" s="249"/>
      <c r="G3" s="151" t="s">
        <v>148</v>
      </c>
      <c r="H3" s="150">
        <f>C42/3600000</f>
        <v>31.128919994214723</v>
      </c>
      <c r="I3" s="84" t="str">
        <f>C46</f>
        <v>31</v>
      </c>
      <c r="J3" s="86">
        <f>C48</f>
        <v>7.7351996528833666</v>
      </c>
      <c r="K3" s="84" t="str">
        <f>C46</f>
        <v>31</v>
      </c>
      <c r="L3" s="85">
        <f>ABS(C50)</f>
        <v>7</v>
      </c>
      <c r="M3" s="86">
        <f>ABS(C52)</f>
        <v>44.111979173001991</v>
      </c>
    </row>
    <row r="4" spans="2:13" ht="15.75" thickBot="1">
      <c r="B4" s="247"/>
      <c r="C4" s="250"/>
      <c r="D4" s="250"/>
      <c r="E4" s="251"/>
      <c r="G4" s="178" t="s">
        <v>149</v>
      </c>
      <c r="H4" s="179">
        <f>C41/3600000</f>
        <v>-81.945669994225838</v>
      </c>
      <c r="I4" s="180" t="str">
        <f>C45</f>
        <v>-81</v>
      </c>
      <c r="J4" s="181">
        <f>ABS(C47)</f>
        <v>56.740199653550292</v>
      </c>
      <c r="K4" s="180" t="str">
        <f>C45</f>
        <v>-81</v>
      </c>
      <c r="L4" s="182">
        <f>ABS(C49)</f>
        <v>56</v>
      </c>
      <c r="M4" s="181">
        <f>ABS(C51)</f>
        <v>44.411979213017446</v>
      </c>
    </row>
    <row r="5" spans="2:13" ht="19.5" thickBot="1">
      <c r="B5" s="232" t="s">
        <v>187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4"/>
    </row>
    <row r="6" spans="2:13" ht="15.75" thickBot="1"/>
    <row r="7" spans="2:13" ht="19.5" thickBot="1">
      <c r="B7" s="240" t="s">
        <v>170</v>
      </c>
      <c r="C7" s="241"/>
    </row>
    <row r="8" spans="2:13" ht="15.75" thickTop="1">
      <c r="B8" s="157" t="s">
        <v>113</v>
      </c>
      <c r="C8" s="158">
        <f>LEN(C3)</f>
        <v>16</v>
      </c>
    </row>
    <row r="9" spans="2:13">
      <c r="B9" s="152" t="s">
        <v>115</v>
      </c>
      <c r="C9" s="153" t="str">
        <f>LEFT(C3,1)</f>
        <v>E</v>
      </c>
    </row>
    <row r="10" spans="2:13">
      <c r="B10" s="152" t="s">
        <v>116</v>
      </c>
      <c r="C10" s="153" t="str">
        <f>MID(C3,2,1)</f>
        <v>M</v>
      </c>
    </row>
    <row r="11" spans="2:13">
      <c r="B11" s="152" t="s">
        <v>114</v>
      </c>
      <c r="C11" s="153" t="str">
        <f>MID($C$3,3,1)</f>
        <v>9</v>
      </c>
    </row>
    <row r="12" spans="2:13">
      <c r="B12" s="152" t="s">
        <v>117</v>
      </c>
      <c r="C12" s="153" t="str">
        <f>MID($C$3,4,1)</f>
        <v>1</v>
      </c>
    </row>
    <row r="13" spans="2:13">
      <c r="B13" s="152" t="s">
        <v>118</v>
      </c>
      <c r="C13" s="153" t="str">
        <f>MID($C$3,5,1)</f>
        <v>a</v>
      </c>
    </row>
    <row r="14" spans="2:13">
      <c r="B14" s="152" t="s">
        <v>119</v>
      </c>
      <c r="C14" s="153" t="str">
        <f>MID($C$3,6,1)</f>
        <v>d</v>
      </c>
    </row>
    <row r="15" spans="2:13">
      <c r="B15" s="152" t="s">
        <v>120</v>
      </c>
      <c r="C15" s="153" t="str">
        <f>MID($C$3,7,1)</f>
        <v>6</v>
      </c>
    </row>
    <row r="16" spans="2:13">
      <c r="B16" s="152" t="s">
        <v>121</v>
      </c>
      <c r="C16" s="153" t="str">
        <f>MID($C$3,8,1)</f>
        <v>0</v>
      </c>
    </row>
    <row r="17" spans="2:3">
      <c r="B17" s="152" t="s">
        <v>122</v>
      </c>
      <c r="C17" s="153" t="str">
        <f>MID($C$3,9,1)</f>
        <v>m</v>
      </c>
    </row>
    <row r="18" spans="2:3">
      <c r="B18" s="152" t="s">
        <v>123</v>
      </c>
      <c r="C18" s="153" t="str">
        <f>MID($C$3,10,1)</f>
        <v>w</v>
      </c>
    </row>
    <row r="19" spans="2:3">
      <c r="B19" s="152" t="s">
        <v>124</v>
      </c>
      <c r="C19" s="153" t="str">
        <f>MID($C$3,11,1)</f>
        <v>4</v>
      </c>
    </row>
    <row r="20" spans="2:3">
      <c r="B20" s="152" t="s">
        <v>125</v>
      </c>
      <c r="C20" s="153" t="str">
        <f>MID($C$3,12,1)</f>
        <v>5</v>
      </c>
    </row>
    <row r="21" spans="2:3">
      <c r="B21" s="152" t="s">
        <v>126</v>
      </c>
      <c r="C21" s="153" t="str">
        <f>MID($C$3,13,1)</f>
        <v>q</v>
      </c>
    </row>
    <row r="22" spans="2:3">
      <c r="B22" s="152" t="s">
        <v>127</v>
      </c>
      <c r="C22" s="153" t="str">
        <f>MID($C$3,14,1)</f>
        <v>t</v>
      </c>
    </row>
    <row r="23" spans="2:3">
      <c r="B23" s="152" t="s">
        <v>128</v>
      </c>
      <c r="C23" s="153" t="str">
        <f>MID($C$3,15,1)</f>
        <v>8</v>
      </c>
    </row>
    <row r="24" spans="2:3">
      <c r="B24" s="152" t="s">
        <v>129</v>
      </c>
      <c r="C24" s="153" t="str">
        <f>MID($C$3,16,1)</f>
        <v>0</v>
      </c>
    </row>
    <row r="25" spans="2:3">
      <c r="B25" s="152" t="s">
        <v>130</v>
      </c>
      <c r="C25" s="153">
        <f>IF($C9="A",-576000000,IF($C9="B",-504000000,IF($C9="C",-432000000,IF($C9="D",-360000000,IF($C9="E",-288000000,IF($C9="F",-216000000,IF($C9="G",-144000000,IF($C9="H",-72000000,IF($C9="I",0,IF($C9="J",0,IF($C9="K",72000000,IF($C9="L",144000000,IF($C9="M",216000000,IF($C9="N",288000000,IF($C9="O",360000000,IF($C9="P",432000000,IF($C9="Q",504000000,IF($C9="R",576000000,))))))))))))))))))</f>
        <v>-288000000</v>
      </c>
    </row>
    <row r="26" spans="2:3">
      <c r="B26" s="152" t="s">
        <v>131</v>
      </c>
      <c r="C26" s="153">
        <f>IF($C10="A",-288000000,IF($C10="B",-252000000,IF($C10="C",-216000000,IF($C10="D",-180000000,IF($C10="E",-144000000,IF($C10="F",-108000000,IF($C10="G",-72000000,IF($C10="H",-36000000,IF($C10="I",0,IF($C10="J",0,IF($C10="K",36000000,IF($C10="L",72000000,IF($C10="M",108000000,IF($C10="N",144000000,IF($C10="O",180000000,IF($C10="P",216000000,IF($C10="Q",252000000,IF($C10="R",288000000,))))))))))))))))))</f>
        <v>108000000</v>
      </c>
    </row>
    <row r="27" spans="2:3">
      <c r="B27" s="152" t="s">
        <v>132</v>
      </c>
      <c r="C27" s="153" t="str">
        <f>IF(AND($C$25&lt;0,$C11="0"),"-64800000",IF(AND($C$25&lt;0,$C11="1"),"-57600000",IF(AND($C$25&lt;0,$C11="2"),"-50400000",IF(AND($C$25&lt;0,$C11="3"),"-43200000",IF(AND($C$25&lt;0,$C11="4"),"-36000000",IF(AND($C$25&lt;0,$C11="5"),"-28800000",IF(AND($C$25&lt;0,$C11="6"),"-21600000",IF(AND($C$25&lt;0,$C11="7"),"-14400000",IF(AND($C$25&lt;0,$C11="8"),"-7200000",IF(AND($C$25&lt;0,$C11="9"),"0",IF(AND($C$25&gt;0,$C11="0"),"0",IF(AND($C$25&gt;0,$C11="1"),"7200000",IF(AND($C$25&gt;0,$C11="2"),"14400000",IF(AND($C$25&gt;0,$C11="3"),"21600000",IF(AND($C$25&gt;0,$C11="4"),"28800000",IF(AND($C$25&gt;0,$C11="5"),"36000000",IF(AND($C$25&gt;0,$C11="6"),"43200000",IF(AND($C$25&gt;0,$C11="7"),"50400000",IF(AND($C$25&gt;0,$C11="8"),"57600000",IF(AND($C$25&gt;0,$C11="9"),"64800000",))))))))))))))))))))</f>
        <v>0</v>
      </c>
    </row>
    <row r="28" spans="2:3">
      <c r="B28" s="152" t="s">
        <v>133</v>
      </c>
      <c r="C28" s="153" t="str">
        <f>IF(AND($C$26&lt;0,$C12="0"),"-32400000",IF(AND($C$26&lt;0,$C12="1"),"-28800000",IF(AND($C$26&lt;0,$C12="2"),"-25200000",IF(AND($C$26&lt;0,$C12="3"),"-21600000",IF(AND($C$26&lt;0,$C12="4"),"-18000000",IF(AND($C$26&lt;0,$C12="5"),"-14400000",IF(AND($C$26&lt;0,$C12="6"),"-10800000",IF(AND($C$26&lt;0,$C12="7"),"-7200000",IF(AND($C$26&lt;0,$C12="8"),"-3600000",IF(AND($C$26&lt;0,$C12="9"),"0",IF(AND($C$26&gt;0,$C12="0"),"0",IF(AND($C$26&gt;0,$C12="1"),"3600000",IF(AND($C$26&gt;0,$C12="2"),"7200000",IF(AND($C$26&gt;0,$C12="3"),"10800000",IF(AND($C$26&gt;0,$C12="4"),"14400000",IF(AND($C$26&gt;0,$C12="5"),"18000000",IF(AND($C$26&gt;0,$C12="6"),"21600000",IF(AND($C$26&gt;0,$C12="7"),"25200000",IF(AND($C$26&gt;0,$C12="8"),"28800000",IF(AND($C$26&gt;0,$C12="9"),"32400000",))))))))))))))))))))</f>
        <v>3600000</v>
      </c>
    </row>
    <row r="29" spans="2:3">
      <c r="B29" s="152" t="s">
        <v>134</v>
      </c>
      <c r="C29" s="153" t="str">
        <f>IF(AND($C$25&lt;0,$C13="a"),"-6900000",IF(AND($C$25&lt;0,$C13="b"),"-6600000",IF(AND($C$25&lt;0,$C13="c"),"-6300000",IF(AND($C$25&lt;0,$C13="d"),"-6000000",IF(AND($C$25&lt;0,$C13="e"),"-5700000",IF(AND($C$25&lt;0,$C13="f"),"-5400000",IF(AND($C$25&lt;0,$C13="g"),"-5100000",IF(AND($C$25&lt;0,$C13="h"),"-4800000",IF(AND($C$25&lt;0,$C13="i"),"-4500000",IF(AND($C$25&lt;0,$C13="j"),"-4200000",IF(AND($C$25&lt;0,$C13="k"),"-3900000",IF(AND($C$25&lt;0,$C13="l"),"-3600000",IF(AND($C$25&lt;0,$C13="m"),"-3300000",IF(AND($C$25&lt;0,$C13="n"),"-3000000",IF(AND($C$25&lt;0,$C13="o"),"-2700000",IF(AND($C$25&lt;0,$C13="p"),"-2400000",IF(AND($C$25&lt;0,$C13="q"),"-2100000",IF(AND($C$25&lt;0,$C13="r"),"-1800000",IF(AND($C$25&lt;0,$C13="s"),"-1500000",IF(AND($C$25&lt;0,$C13="t"),"-1200000",IF(AND($C$25&lt;0,$C13="u"),"-900000",IF(AND($C$25&lt;0,$C13="v"),"-600000",IF(AND($C$25&lt;0,$C13="w"),"-300000",IF(AND($C$25&lt;0,$C13="x"),"0",IF(AND($C$25&gt;0,$C13="a"),"0",IF(AND($C$25&gt;0,$C13="b"),"300000",IF(AND($C$25&gt;0,$C13="c"),"600000",IF(AND($C$25&gt;0,$C13="d"),"900000",IF(AND($C$25&gt;0,$C13="e"),"1200000",IF(AND($C$25&gt;0,$C13="f"),"1500000",IF(AND($C$25&gt;0,$C13="g"),"1800000",IF(AND($C$25&gt;0,$C13="h"),"2100000",IF(AND($C$25&gt;0,$C13="i"),"2400000",IF(AND($C$25&gt;0,$C13="j"),"2700000",IF(AND($C$25&gt;0,$C13="k"),"3000000",IF(AND($C$25&gt;0,$C13="l"),"3300000",IF(AND($C$25&gt;0,$C13="m"),"3600000",IF(AND($C$25&gt;0,$C13="n"),"3900000",IF(AND($C$25&gt;0,$C13="o"),"4200000",IF(AND($C$25&gt;0,$C13="p"),"4500000",IF(AND($C$25&gt;0,$C13="q"),"4800000",IF(AND($C$25&gt;0,$C13="r"),"5100000",IF(AND($C$25&gt;0,$C13="s"),"5400000",IF(AND($C$25&gt;0,$C13="t"),"5700000",IF(AND($C$25&gt;0,$C13="u"),"6000000",IF(AND($C$25&gt;0,$C13="v"),"6300000",IF(AND($C$25&gt;0,$C13="w"),"6600000",IF(AND($C$25&gt;0,$C13="x"),"6900000",))))))))))))))))))))))))))))))))))))))))))))))))</f>
        <v>-6900000</v>
      </c>
    </row>
    <row r="30" spans="2:3">
      <c r="B30" s="152" t="s">
        <v>135</v>
      </c>
      <c r="C30" s="153" t="str">
        <f>IF(AND($C$26&lt;0,$C14="a"),"-3450000",IF(AND($C$26&lt;0,$C14="b"),"-3300000",IF(AND($C$26&lt;0,$C14="c"),"-3150000",IF(AND($C$26&lt;0,$C14="d"),"-3000000",IF(AND($C$26&lt;0,$C14="e"),"-2850000",IF(AND($C$26&lt;0,$C14="f"),"-2700000",IF(AND($C$26&lt;0,$C14="g"),"-2550000",IF(AND($C$26&lt;0,$C14="h"),"-2400000",IF(AND($C$26&lt;0,$C14="i"),"-2250000",IF(AND($C$26&lt;0,$C14="j"),"-2100000",IF(AND($C$26&lt;0,$C14="k"),"-1950000",IF(AND($C$26&lt;0,$C14="l"),"-1800000",IF(AND($C$26&lt;0,$C14="m"),"-1650000",IF(AND($C$26&lt;0,$C14="n"),"-1500000",IF(AND($C$26&lt;0,$C14="o"),"-1350000",IF(AND($C$26&lt;0,$C14="p"),"-1200000",IF(AND($C$26&lt;0,$C14="q"),"-1050000",IF(AND($C$26&lt;0,$C14="r"),"-900000",IF(AND($C$26&lt;0,$C14="s"),"-750000",IF(AND($C$26&lt;0,$C14="t"),"-600000",IF(AND($C$26&lt;0,$C14="u"),"-450000",IF(AND($C$26&lt;0,$C14="v"),"-300000",IF(AND($C$26&lt;0,$C14="w"),"-150000",IF(AND($C$26&lt;0,$C14="x"),"0",IF(AND($C$26&gt;0,$C14="a"),"0",IF(AND($C$26&gt;0,$C14="b"),"150000",IF(AND($C$26&gt;0,$C14="c"),"300000",IF(AND($C$26&gt;0,$C14="d"),"450000",IF(AND($C$26&gt;0,$C14="e"),"600000",IF(AND($C$26&gt;0,$C14="f"),"750000",IF(AND($C$26&gt;0,$C14="g"),"900000",IF(AND($C$26&gt;0,$C14="h"),"1050000",IF(AND($C$26&gt;0,$C14="i"),"1200000",IF(AND($C$26&gt;0,$C14="j"),"1350000",IF(AND($C$26&gt;0,$C14="k"),"1500000",IF(AND($C$26&gt;0,$C14="l"),"1650000",IF(AND($C$26&gt;0,$C14="m"),"1800000",IF(AND($C$26&gt;0,$C14="n"),"1950000",IF(AND($C$26&gt;0,$C14="o"),"2100000",IF(AND($C$26&gt;0,$C14="p"),"2250000",IF(AND($C$26&gt;0,$C14="q"),"2400000",IF(AND($C$26&gt;0,$C14="r"),"2550000",IF(AND($C$26&gt;0,$C14="s"),"2700000",IF(AND($C$26&gt;0,$C14="t"),"2850000",IF(AND($C$26&gt;0,$C14="u"),"3000000",IF(AND($C$26&gt;0,$C14="v"),"3150000",IF(AND($C$26&gt;0,$C14="w"),"3300000",IF(AND($C$26&gt;0,$C14="x"),"3450000",))))))))))))))))))))))))))))))))))))))))))))))))</f>
        <v>450000</v>
      </c>
    </row>
    <row r="31" spans="2:3">
      <c r="B31" s="152" t="s">
        <v>136</v>
      </c>
      <c r="C31" s="153" t="str">
        <f>IF(AND($C$25&lt;0,$C15="0"),"-270000",IF(AND($C$25&lt;0,$C15="1"),"-240000",IF(AND($C$25&lt;0,$C15="2"),"-210000",IF(AND($C$25&lt;0,$C15="3"),"-180000",IF(AND($C$25&lt;0,$C15="4"),"-150000",IF(AND($C$25&lt;0,$C15="5"),"-120000",IF(AND($C$25&lt;0,$C15="6"),"-90000",IF(AND($C$25&lt;0,$C15="7"),"-60000",IF(AND($C$25&lt;0,$C15="8"),"-30000",IF(AND($C$25&lt;0,$C15="9"),"0",IF(AND($C$25&gt;0,$C15="0"),"0",IF(AND($C$25&gt;0,$C15="1"),"30000",IF(AND($C$25&gt;0,$C15="2"),"60000",IF(AND($C$25&gt;0,$C15="3"),"90000",IF(AND($C$25&gt;0,$C15="4"),"120000",IF(AND($C$25&gt;0,$C15="5"),"150000",IF(AND($C$25&gt;0,$C15="6"),"180000",IF(AND($C$25&gt;0,$C15="7"),"210000",IF(AND($C$25&gt;0,$C15="8"),"240000",IF(AND($C$25&gt;0,$C15="9"),"270000",))))))))))))))))))))</f>
        <v>-90000</v>
      </c>
    </row>
    <row r="32" spans="2:3">
      <c r="B32" s="152" t="s">
        <v>137</v>
      </c>
      <c r="C32" s="153" t="str">
        <f>IF(AND($C$26&lt;0,$C16="0"),"-135000",IF(AND($C$26&lt;0,$C16="1"),"-120000",IF(AND($C$26&lt;0,$C16="2"),"-105000",IF(AND($C$26&lt;0,$C16="3"),"-90000",IF(AND($C$26&lt;0,$C16="4"),"-75000",IF(AND($C$26&lt;0,$C16="5"),"-60000",IF(AND($C$26&lt;0,$C16="6"),"-45000",IF(AND($C$26&lt;0,$C16="7"),"-30000",IF(AND($C$26&lt;0,$C16="8"),"-15000",IF(AND($C$26&lt;0,$C16="9"),"0",IF(AND($C$26&gt;0,$C16="0"),"0",IF(AND($C$26&gt;0,$C16="1"),"15000",IF(AND($C$26&gt;0,$C16="2"),"30000",IF(AND($C$26&gt;0,$C16="3"),"45000",IF(AND($C$26&gt;0,$C16="4"),"60000",IF(AND($C$26&gt;0,$C16="5"),"75000",IF(AND($C$26&gt;0,$C16="6"),"90000",IF(AND($C$26&gt;0,$C16="7"),"105000",IF(AND($C$26&gt;0,$C16="8"),"120000",IF(AND($C$26&gt;0,$C16="9"),"135000",))))))))))))))))))))</f>
        <v>0</v>
      </c>
    </row>
    <row r="33" spans="2:5">
      <c r="B33" s="152" t="s">
        <v>138</v>
      </c>
      <c r="C33" s="153" t="str">
        <f>IF(AND($C$25&lt;0,$C17="a"),"-28750",IF(AND($C$25&lt;0,$C17="b"),"-27500",IF(AND($C$25&lt;0,$C17="c"),"-26250",IF(AND($C$25&lt;0,$C17="d"),"-25000",IF(AND($C$25&lt;0,$C17="e"),"-23750",IF(AND($C$25&lt;0,$C17="f"),"-22500",IF(AND($C$25&lt;0,$C17="g"),"-21250",IF(AND($C$25&lt;0,$C17="h"),"-20000",IF(AND($C$25&lt;0,$C17="i"),"-18750",IF(AND($C$25&lt;0,$C17="j"),"-17500",IF(AND($C$25&lt;0,$C17="k"),"-16250",IF(AND($C$25&lt;0,$C17="l"),"-15000",IF(AND($C$25&lt;0,$C17="m"),"-13750",IF(AND($C$25&lt;0,$C17="n"),"-12500",IF(AND($C$25&lt;0,$C17="o"),"-11250",IF(AND($C$25&lt;0,$C17="p"),"-10000",IF(AND($C$25&lt;0,$C17="q"),"-8750",IF(AND($C$25&lt;0,$C17="r"),"-7500",IF(AND($C$25&lt;0,$C17="s"),"-6250",IF(AND($C$25&lt;0,$C17="t"),"-5000",IF(AND($C$25&lt;0,$C17="u"),"-3750",IF(AND($C$25&lt;0,$C17="v"),"-2500",IF(AND($C$25&lt;0,$C17="w"),"-1250",IF(AND($C$25&lt;0,$C17="x"),"0",IF(AND($C$25&gt;0,$C17="a"),"0",IF(AND($C$25&gt;0,$C17="b"),"1250",IF(AND($C$25&gt;0,$C17="c"),"2500",IF(AND($C$25&gt;0,$C17="d"),"3750",IF(AND($C$25&gt;0,$C17="e"),"5000",IF(AND($C$25&gt;0,$C17="f"),"6250",IF(AND($C$25&gt;0,$C17="g"),"7500",IF(AND($C$25&gt;0,$C17="h"),"8750",IF(AND($C$25&gt;0,$C17="i"),"10000",IF(AND($C$25&gt;0,$C17="j"),"11250",IF(AND($C$25&gt;0,$C17="k"),"12500",IF(AND($C$25&gt;0,$C17="l"),"13750",IF(AND($C$25&gt;0,$C17="m"),"15000",IF(AND($C$25&gt;0,$C17="n"),"16250",IF(AND($C$25&gt;0,$C17="o"),"17500",IF(AND($C$25&gt;0,$C17="p"),"18750",IF(AND($C$25&gt;0,$C17="q"),"20000",IF(AND($C$25&gt;0,$C17="r"),"21250",IF(AND($C$25&gt;0,$C17="s"),"22500",IF(AND($C$25&gt;0,$C17="t"),"23750",IF(AND($C$25&gt;0,$C17="u"),"25000",IF(AND($C$25&gt;0,$C17="v"),"26250",IF(AND($C$25&gt;0,$C17="w"),"27500",IF(AND($C$25&gt;0,$C17="x"),"28750",))))))))))))))))))))))))))))))))))))))))))))))))</f>
        <v>-13750</v>
      </c>
    </row>
    <row r="34" spans="2:5">
      <c r="B34" s="152" t="s">
        <v>139</v>
      </c>
      <c r="C34" s="153" t="str">
        <f>IF(AND($C$26&lt;0,$C18="a"),"-14375",IF(AND($C$26&lt;0,$C18="b"),"-13750",IF(AND($C$26&lt;0,$C18="c"),"-13125",IF(AND($C$26&lt;0,$C18="d"),"-12500",IF(AND($C$26&lt;0,$C18="e"),"-11875",IF(AND($C$26&lt;0,$C18="f"),"-11250",IF(AND($C$26&lt;0,$C18="g"),"-10625",IF(AND($C$26&lt;0,$C18="h"),"-10000",IF(AND($C$26&lt;0,$C18="i"),"-9375",IF(AND($C$26&lt;0,$C18="j"),"-8750",IF(AND($C$26&lt;0,$C18="k"),"-8125",IF(AND($C$26&lt;0,$C18="l"),"-7500",IF(AND($C$26&lt;0,$C18="m"),"-6875",IF(AND($C$26&lt;0,$C18="n"),"-6250",IF(AND($C$26&lt;0,$C18="o"),"-5625",IF(AND($C$26&lt;0,$C18="p"),"-5000",IF(AND($C$26&lt;0,$C18="q"),"-4375",IF(AND($C$26&lt;0,$C18="r"),"-3750",IF(AND($C$26&lt;0,$C18="s"),"-3125",IF(AND($C$26&lt;0,$C18="t"),"-2500",IF(AND($C$26&lt;0,$C18="u"),"-1875",IF(AND($C$26&lt;0,$C18="v"),"-1250",IF(AND($C$26&lt;0,$C18="w"),"-625",IF(AND($C$26&lt;0,$C18="x"),"0",IF(AND($C$26&gt;0,$C18="a"),"0",IF(AND($C$26&gt;0,$C18="b"),"625",IF(AND($C$26&gt;0,$C18="c"),"1250",IF(AND($C$26&gt;0,$C18="d"),"1875",IF(AND($C$26&gt;0,$C18="e"),"2500",IF(AND($C$26&gt;0,$C18="f"),"3125",IF(AND($C$26&gt;0,$C18="g"),"3750",IF(AND($C$26&gt;0,$C18="h"),"4375",IF(AND($C$26&gt;0,$C18="i"),"5000",IF(AND($C$26&gt;0,$C18="j"),"5625",IF(AND($C$26&gt;0,$C18="k"),"6250",IF(AND($C$26&gt;0,$C18="l"),"6875",IF(AND($C$26&gt;0,$C18="m"),"7500",IF(AND($C$26&gt;0,$C18="n"),"8125",IF(AND($C$26&gt;0,$C18="o"),"8750",IF(AND($C$26&gt;0,$C18="p"),"9375",IF(AND($C$26&gt;0,$C18="q"),"10000",IF(AND($C$26&gt;0,$C18="r"),"10625",IF(AND($C$26&gt;0,$C18="s"),"11250",IF(AND($C$26&gt;0,$C18="t"),"11875",IF(AND($C$26&gt;0,$C18="u"),"12500",IF(AND($C$26&gt;0,$C18="v"),"13125",IF(AND($C$26&gt;0,$C18="w"),"13750",IF(AND($C$26&gt;0,$C18="x"),"14375",))))))))))))))))))))))))))))))))))))))))))))))))</f>
        <v>13750</v>
      </c>
    </row>
    <row r="35" spans="2:5">
      <c r="B35" s="152" t="s">
        <v>140</v>
      </c>
      <c r="C35" s="153" t="str">
        <f>IF(AND($C$25&lt;0,$C19="0"),"-1125",IF(AND($C$25&lt;0,$C19="1"),"-1000",IF(AND($C$25&lt;0,$C19="2"),"-875",IF(AND($C$25&lt;0,$C19="3"),"-750",IF(AND($C$25&lt;0,$C19="4"),"-625",IF(AND($C$25&lt;0,$C19="5"),"-500",IF(AND($C$25&lt;0,$C19="6"),"-375",IF(AND($C$25&lt;0,$C19="7"),"-250",IF(AND($C$25&lt;0,$C19="8"),"-125",IF(AND($C$25&lt;0,$C19="9"),"0",IF(AND($C$25&gt;0,$C19="0"),"0",IF(AND($C$25&gt;0,$C19="1"),"125",IF(AND($C$25&gt;0,$C19="2"),"250",IF(AND($C$25&gt;0,$C19="3"),"375",IF(AND($C$25&gt;0,$C19="4"),"1500",IF(AND($C$25&gt;0,$C19="5"),"625",IF(AND($C$25&gt;0,$C19="6"),"750",IF(AND($C$25&gt;0,$C19="7"),"875",IF(AND($C$25&gt;0,$C19="8"),"1000",IF(AND($C$25&gt;0,$C19="9"),"1125",))))))))))))))))))))</f>
        <v>-625</v>
      </c>
    </row>
    <row r="36" spans="2:5">
      <c r="B36" s="152" t="s">
        <v>141</v>
      </c>
      <c r="C36" s="153" t="str">
        <f>IF(AND($C$26&lt;0,$C20="0"),"-562.5",IF(AND($C$26&lt;0,$C20="1"),"-500",IF(AND($C$26&lt;0,$C20="2"),"-437.5",IF(AND($C$26&lt;0,$C20="3"),"-375",IF(AND($C$26&lt;0,$C20="4"),"-312.5",IF(AND($C$26&lt;0,$C20="5"),"-250",IF(AND($C$26&lt;0,$C20="6"),"-187.5",IF(AND($C$26&lt;0,$C20="7"),"-125",IF(AND($C$26&lt;0,$C20="8"),"-62.5",IF(AND($C$26&lt;0,$C20="9"),"0",IF(AND($C$26&gt;0,$C20="0"),"0",IF(AND($C$26&gt;0,$C20="1"),"62.5",IF(AND($C$26&gt;0,$C20="2"),"125",IF(AND($C$26&gt;0,$C20="3"),"187.5",IF(AND($C$26&gt;0,$C20="4"),"250",IF(AND($C$26&gt;0,$C20="5"),"312.5",IF(AND($C$26&gt;0,$C20="6"),"375",IF(AND($C$26&gt;0,$C20="7"),"437.5",IF(AND($C$26&gt;0,$C20="8"),"500",IF(AND($C$26&gt;0,$C20="9"),"562.5",))))))))))))))))))))</f>
        <v>312.5</v>
      </c>
    </row>
    <row r="37" spans="2:5">
      <c r="B37" s="152" t="s">
        <v>142</v>
      </c>
      <c r="C37" s="153" t="str">
        <f>IF(AND($C$25&lt;0,$C21="a"),"-119.79182",IF(AND($C$25&lt;0,$C21="b"),"-114.58348",IF(AND($C$25&lt;0,$C21="c"),"-109.37514",IF(AND($C$25&lt;0,$C21="d"),"-104.1668",IF(AND($C$25&lt;0,$C21="e"),"-98.95846",IF(AND($C$25&lt;0,$C21="f"),"-93.75012",IF(AND($C$25&lt;0,$C21="g"),"-88.54178",IF(AND($C$25&lt;0,$C21="h"),"-83.33344",IF(AND($C$25&lt;0,$C21="i"),"-78.1251",IF(AND($C$25&lt;0,$C21="j"),"-72.91676",IF(AND($C$25&lt;0,$C21="k"),"-67.70842",IF(AND($C$25&lt;0,$C21="l"),"-62.50008",IF(AND($C$25&lt;0,$C21="m"),"-57.29174",IF(AND($C$25&lt;0,$C21="n"),"-52.0834",IF(AND($C$25&lt;0,$C21="o"),"-46.87506",IF(AND($C$25&lt;0,$C21="p"),"-41.66672",IF(AND($C$25&lt;0,$C21="q"),"-36.45838",IF(AND($C$25&lt;0,$C21="r"),"-31.25004",IF(AND($C$25&lt;0,$C21="s"),"-26.0417",IF(AND($C$25&lt;0,$C21="t"),"-20.83336",IF(AND($C$25&lt;0,$C21="u"),"-15.62502",IF(AND($C$25&lt;0,$C21="v"),"-10.41668",IF(AND($C$25&lt;0,$C21="w"),"-5.20834",IF(AND($C$25&lt;0,$C21="x"),"0",IF(AND($C$25&gt;0,$C21="a"),"0",IF(AND($C$25&gt;0,$C21="b"),"5.20834",IF(AND($C$25&gt;0,$C21="c"),"10.41668",IF(AND($C$25&gt;0,$C21="d"),"15.62502",IF(AND($C$25&gt;0,$C21="e"),"20.83336",IF(AND($C$25&gt;0,$C21="f"),"26.0417",IF(AND($C$25&gt;0,$C21="g"),"31.25004",IF(AND($C$25&gt;0,$C21="h"),"36.45838",IF(AND($C$25&gt;0,$C21="i"),"41.66672",IF(AND($C$25&gt;0,$C21="j"),"46.87506",IF(AND($C$25&gt;0,$C21="k"),"52.0834",IF(AND($C$25&gt;0,$C21="l"),"57.29174",IF(AND($C$25&gt;0,$C21="m"),"62.50008",IF(AND($C$25&gt;0,$C21="n"),"67.70842",IF(AND($C$25&gt;0,$C21="o"),"72.91676",IF(AND($C$25&gt;0,$C21="p"),"78.1251",IF(AND($C$25&gt;0,$C21="q"),"83.33344",IF(AND($C$25&gt;0,$C21="r"),"88.54178",IF(AND($C$25&gt;0,$C21="s"),"93.75012",IF(AND($C$25&gt;0,$C21="t"),"98.95846",IF(AND($C$25&gt;0,$C21="u"),"104.1668",IF(AND($C$25&gt;0,$C21="v"),"109.37514",IF(AND($C$25&gt;0,$C21="w"),"114.58348",IF(AND($C$25&gt;0,$C21="x"),"119.79182",))))))))))))))))))))))))))))))))))))))))))))))))</f>
        <v>-36.45838</v>
      </c>
    </row>
    <row r="38" spans="2:5">
      <c r="B38" s="152" t="s">
        <v>143</v>
      </c>
      <c r="C38" s="153" t="str">
        <f>IF(AND($C$26&lt;0,$C22="a"),"-59.895841",IF(AND($C$26&lt;0,$C22="b"),"-57.291674",IF(AND($C$26&lt;0,$C22="c"),"-54.687507",IF(AND($C$26&lt;0,$C22="d"),"-52.08334",IF(AND($C$26&lt;0,$C22="e"),"-49.479173",IF(AND($C$26&lt;0,$C22="f"),"-46.875006",IF(AND($C$26&lt;0,$C22="g"),"-44.270839",IF(AND($C$26&lt;0,$C22="h"),"-41.666672",IF(AND($C$26&lt;0,$C22="i"),"-39.062505",IF(AND($C$26&lt;0,$C22="j"),"-36.458338",IF(AND($C$26&lt;0,$C22="k"),"-33.854171",IF(AND($C$26&lt;0,$C22="l"),"-31.250004",IF(AND($C$26&lt;0,$C22="m"),"-28.645837",IF(AND($C$26&lt;0,$C22="n"),"-26.04167",IF(AND($C$26&lt;0,$C22="o"),"-23.437503",IF(AND($C$26&lt;0,$C22="p"),"-20.833336",IF(AND($C$26&lt;0,$C22="q"),"-18.229169",IF(AND($C$26&lt;0,$C22="r"),"-15.625002",IF(AND($C$26&lt;0,$C22="s"),"-13.020835",IF(AND($C$26&lt;0,$C22="t"),"-10.416668",IF(AND($C$26&lt;0,$C22="u"),"-7.812501",IF(AND($C$26&lt;0,$C22="v"),"-5.208334",IF(AND($C$26&lt;0,$C22="w"),"-2.604167",IF(AND($C$26&lt;0,$C22="x"),"0",IF(AND($C$26&gt;0,$C22="a"),"0",IF(AND($C$26&gt;0,$C22="b"),"2.604167",IF(AND($C$26&gt;0,$C22="c"),"5.208334",IF(AND($C$26&gt;0,$C22="d"),"7.812501",IF(AND($C$26&gt;0,$C22="e"),"10.416668",IF(AND($C$26&gt;0,$C22="f"),"13.020835",IF(AND($C$26&gt;0,$C22="g"),"15.625002",IF(AND($C$26&gt;0,$C22="h"),"18.229169",IF(AND($C$26&gt;0,$C22="i"),"20.833336",IF(AND($C$26&gt;0,$C22="j"),"23.437503",IF(AND($C$26&gt;0,$C22="k"),"26.04167",IF(AND($C$26&gt;0,$C22="l"),"28.645837",IF(AND($C$26&gt;0,$C22="m"),"31.250004",IF(AND($C$26&gt;0,$C22="n"),"33.854171",IF(AND($C$26&gt;0,$C22="o"),"36.458338",IF(AND($C$26&gt;0,$C22="p"),"39.062505",IF(AND($C$26&gt;0,$C22="q"),"41.666672",IF(AND($C$26&gt;0,$C22="r"),"44.270839",IF(AND($C$26&gt;0,$C22="s"),"46.875006",IF(AND($C$26&gt;0,$C22="t"),"49.479173",IF(AND($C$26&gt;0,$C22="u"),"52.08334",IF(AND($C$26&gt;0,$C22="v"),"54.687507",IF(AND($C$26&gt;0,$C22="w"),"57.291674",IF(AND($C$26&gt;0,$C22="x"),"59.895841",))))))))))))))))))))))))))))))))))))))))))))))))</f>
        <v>49.479173</v>
      </c>
    </row>
    <row r="39" spans="2:5">
      <c r="B39" s="152" t="s">
        <v>144</v>
      </c>
      <c r="C39" s="153" t="str">
        <f>IF(AND($C$25&lt;0,$C23="0"),"-4.687497",IF(AND($C$25&lt;0,$C23="1"),"-4.166664",IF(AND($C$25&lt;0,$C23="2"),"-3.645831",IF(AND($C$25&lt;0,$C23="3"),"-3.124998",IF(AND($C$25&lt;0,$C23="4"),"-2.604165",IF(AND($C$25&lt;0,$C23="5"),"-2.083332",IF(AND($C$25&lt;0,$C23="6"),"-1.562499",IF(AND($C$25&lt;0,$C23="7"),"-1.041666",IF(AND($C$25&lt;0,$C23="8"),"-0.520833",IF(AND($C$25&lt;0,$C23="9"),"0",IF(AND($C$25&gt;0,$C23="0"),"0",IF(AND($C$25&gt;0,$C23="1"),"0.520833",IF(AND($C$25&gt;0,$C23="2"),"1.041666",IF(AND($C$25&gt;0,$C23="3"),"1.562499",IF(AND($C$25&gt;0,$C23="4"),"2.083332",IF(AND($C$25&gt;0,$C23="5"),"2.604165",IF(AND($C$25&gt;0,$C23="6"),"3.124998",IF(AND($C$25&gt;0,$C23="7"),"3.645831",IF(AND($C$25&gt;0,$C23="8"),"4.166664",IF(AND($C$25&gt;0,$C23="9"),"4.687497",))))))))))))))))))))</f>
        <v>-0.520833</v>
      </c>
    </row>
    <row r="40" spans="2:5">
      <c r="B40" s="152" t="s">
        <v>145</v>
      </c>
      <c r="C40" s="153" t="str">
        <f>IF(AND($C$26&lt;0,$C24="0"),"-0.23437503",IF(AND($C$26&lt;0,$C24="1"),"-0.20833336",IF(AND($C$26&lt;0,$C24="2"),"-0.18229169",IF(AND($C$26&lt;0,$C24="3"),"-0.15625002",IF(AND($C$26&lt;0,$C24="4"),"-0.13020835",IF(AND($C$26&lt;0,$C24="5"),"-0.10416668",IF(AND($C$26&lt;0,$C24="6"),"-0.07812501",IF(AND($C$26&lt;0,$C24="7"),"-0.05208334",IF(AND($C$26&lt;0,$C24="8"),"-0.02604167",IF(AND($C$26&lt;0,$C24="9"),"0",IF(AND($C$26&gt;0,$C24="0"),"0",IF(AND($C$26&gt;0,$C24="1"),"0.02604167",IF(AND($C$26&gt;0,$C24="2"),"0.05208334",IF(AND($C$26&gt;0,$C24="3"),"0.07812501",IF(AND($C$26&gt;0,$C24="4"),"0.10416668",IF(AND($C$26&gt;0,$C24="5"),"0.13020835",IF(AND($C$26&gt;0,$C24="6"),"0.15625002",IF(AND($C$26&gt;0,$C24="7"),"0.18229169",IF(AND($C$26&gt;0,$C24="8"),"0.20833336",IF(AND($C$26&gt;0,$C24="9"),"0.23437503",))))))))))))))))))))</f>
        <v>0</v>
      </c>
    </row>
    <row r="41" spans="2:5">
      <c r="B41" s="152" t="s">
        <v>147</v>
      </c>
      <c r="C41" s="153">
        <f>C25+C27+C29+C31+C33+C35+C37+C39</f>
        <v>-295004411.979213</v>
      </c>
      <c r="E41" s="83"/>
    </row>
    <row r="42" spans="2:5">
      <c r="B42" s="152" t="s">
        <v>146</v>
      </c>
      <c r="C42" s="153">
        <f>C26+C28+C30+C32+C34+C36+C38+C40</f>
        <v>112064111.979173</v>
      </c>
      <c r="E42" s="83"/>
    </row>
    <row r="43" spans="2:5">
      <c r="B43" s="152" t="s">
        <v>150</v>
      </c>
      <c r="C43" s="153">
        <f>C41/3600000</f>
        <v>-81.945669994225838</v>
      </c>
    </row>
    <row r="44" spans="2:5">
      <c r="B44" s="152" t="s">
        <v>151</v>
      </c>
      <c r="C44" s="153">
        <f>C42/3600000</f>
        <v>31.128919994214723</v>
      </c>
    </row>
    <row r="45" spans="2:5">
      <c r="B45" s="152" t="s">
        <v>152</v>
      </c>
      <c r="C45" s="153" t="str">
        <f>LEFT(C43,FIND(".",C43)-1)</f>
        <v>-81</v>
      </c>
    </row>
    <row r="46" spans="2:5">
      <c r="B46" s="152" t="s">
        <v>153</v>
      </c>
      <c r="C46" s="153" t="str">
        <f>LEFT(C44,FIND(".",C44)-1)</f>
        <v>31</v>
      </c>
    </row>
    <row r="47" spans="2:5">
      <c r="B47" s="152" t="s">
        <v>154</v>
      </c>
      <c r="C47" s="153">
        <f>60*(C43-C45)</f>
        <v>-56.740199653550292</v>
      </c>
    </row>
    <row r="48" spans="2:5">
      <c r="B48" s="152" t="s">
        <v>155</v>
      </c>
      <c r="C48" s="153">
        <f>60*(C44-C46)</f>
        <v>7.7351996528833666</v>
      </c>
    </row>
    <row r="49" spans="2:3">
      <c r="B49" s="152" t="s">
        <v>156</v>
      </c>
      <c r="C49" s="154" t="str">
        <f>LEFT(C47,FIND(".",C47)-1)</f>
        <v>-56</v>
      </c>
    </row>
    <row r="50" spans="2:3">
      <c r="B50" s="152" t="s">
        <v>157</v>
      </c>
      <c r="C50" s="154" t="str">
        <f>LEFT(C48,FIND(".",C48)-1)</f>
        <v>7</v>
      </c>
    </row>
    <row r="51" spans="2:3">
      <c r="B51" s="152" t="s">
        <v>158</v>
      </c>
      <c r="C51" s="153">
        <f>3600*(C43-C45-(C49/60))</f>
        <v>-44.411979213017446</v>
      </c>
    </row>
    <row r="52" spans="2:3" ht="15.75" thickBot="1">
      <c r="B52" s="155" t="s">
        <v>159</v>
      </c>
      <c r="C52" s="156">
        <f>3600*(C44-C46-(C50/60))</f>
        <v>44.111979173001991</v>
      </c>
    </row>
    <row r="53" spans="2:3" ht="19.5" thickBot="1">
      <c r="B53" s="232" t="s">
        <v>188</v>
      </c>
      <c r="C53" s="234"/>
    </row>
  </sheetData>
  <mergeCells count="5">
    <mergeCell ref="B3:B4"/>
    <mergeCell ref="C3:E4"/>
    <mergeCell ref="B7:C7"/>
    <mergeCell ref="B5:M5"/>
    <mergeCell ref="B53:C53"/>
  </mergeCells>
  <pageMargins left="0.7" right="0.7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I11"/>
  <sheetViews>
    <sheetView workbookViewId="0">
      <selection activeCell="J3" sqref="J3"/>
    </sheetView>
  </sheetViews>
  <sheetFormatPr defaultRowHeight="15"/>
  <cols>
    <col min="1" max="1" width="5.140625" customWidth="1"/>
    <col min="2" max="2" width="13.5703125" style="4" customWidth="1"/>
    <col min="3" max="3" width="15.140625" style="4" customWidth="1"/>
    <col min="4" max="4" width="15" style="4" customWidth="1"/>
    <col min="5" max="5" width="15.5703125" style="4" customWidth="1"/>
    <col min="6" max="6" width="22.7109375" style="1" customWidth="1"/>
    <col min="7" max="7" width="20.140625" style="1" customWidth="1"/>
    <col min="8" max="8" width="18.5703125" style="1" customWidth="1"/>
    <col min="9" max="9" width="14.28515625" bestFit="1" customWidth="1"/>
  </cols>
  <sheetData>
    <row r="1" spans="2:9" ht="15.75" thickBot="1"/>
    <row r="2" spans="2:9" ht="19.5" thickBot="1">
      <c r="B2" s="207" t="s">
        <v>41</v>
      </c>
      <c r="C2" s="213" t="s">
        <v>165</v>
      </c>
      <c r="D2" s="209" t="s">
        <v>39</v>
      </c>
      <c r="E2" s="213" t="s">
        <v>40</v>
      </c>
      <c r="F2" s="139" t="s">
        <v>42</v>
      </c>
      <c r="G2" s="146" t="s">
        <v>43</v>
      </c>
      <c r="H2" s="142" t="s">
        <v>161</v>
      </c>
    </row>
    <row r="3" spans="2:9" ht="15.75" thickTop="1">
      <c r="B3" s="101">
        <f>'Decimal Degrees to Grid '!$C$3</f>
        <v>34.065379999999998</v>
      </c>
      <c r="C3" s="214">
        <f>'Decimal Degrees to Grid '!$D$3</f>
        <v>-84.554929999999999</v>
      </c>
      <c r="D3" s="210">
        <f>'Decimal Degrees to Grid '!$F$37</f>
        <v>30</v>
      </c>
      <c r="E3" s="214">
        <f>'Decimal Degrees to Grid '!$F$10</f>
        <v>-80</v>
      </c>
      <c r="F3" s="140">
        <f>3963.19*((2*ASIN(SQRT((SIN((RADIANS(Lat_RX_1)-RADIANS(Lat_RX_2))/2)^2)+COS(RADIANS(Lat_RX_1))*COS(RADIANS(Lat_RX_2))*(SIN(RADIANS(Lon_RX_1)-RADIANS(Lon_RX_2))/2)^2))))</f>
        <v>387.59398974947572</v>
      </c>
      <c r="G3" s="147">
        <f>F3*5280</f>
        <v>2046496.2658772317</v>
      </c>
      <c r="H3" s="143">
        <v>2</v>
      </c>
      <c r="I3" s="32"/>
    </row>
    <row r="4" spans="2:9">
      <c r="B4" s="95">
        <f>'Decimal Degrees to Grid '!$C$3</f>
        <v>34.065379999999998</v>
      </c>
      <c r="C4" s="215">
        <f>'Decimal Degrees to Grid '!$D$3</f>
        <v>-84.554929999999999</v>
      </c>
      <c r="D4" s="211">
        <f>'Decimal Degrees to Grid '!$F$40</f>
        <v>34</v>
      </c>
      <c r="E4" s="215">
        <f>'Decimal Degrees to Grid '!$F$13</f>
        <v>-84</v>
      </c>
      <c r="F4" s="141">
        <f>3963.19*((2*ASIN(SQRT((SIN((RADIANS(Lat_RX_1)-RADIANS(Lat_RX_3))/2)^2)+COS(RADIANS(Lat_RX_1))*COS(RADIANS(Lat_RX_3))*(SIN(RADIANS(Lon_RX_1)-RADIANS(Lon_RX_3))/2)^2))))</f>
        <v>32.129723695781934</v>
      </c>
      <c r="G4" s="148">
        <f t="shared" ref="G4:G8" si="0">F4*5280</f>
        <v>169644.94111372862</v>
      </c>
      <c r="H4" s="144">
        <v>4</v>
      </c>
      <c r="I4" s="32"/>
    </row>
    <row r="5" spans="2:9">
      <c r="B5" s="95">
        <f>'Decimal Degrees to Grid '!$C$3</f>
        <v>34.065379999999998</v>
      </c>
      <c r="C5" s="215">
        <f>'Decimal Degrees to Grid '!$D$3</f>
        <v>-84.554929999999999</v>
      </c>
      <c r="D5" s="211">
        <f>'Decimal Degrees to Grid '!$F$44</f>
        <v>34.041666666666664</v>
      </c>
      <c r="E5" s="215">
        <f>'Decimal Degrees to Grid '!$F$17</f>
        <v>-84.5</v>
      </c>
      <c r="F5" s="141">
        <f>3963.19*((2*ASIN(SQRT((SIN((RADIANS(Lat_RX_1)-RADIANS(Lat_RX_4))/2)^2)+COS(RADIANS(Lat_RX_1))*COS(RADIANS(Lat_RX_4))*(SIN(RADIANS(Lon_RX_1)-RADIANS(Lon_RX_4))/2)^2))))</f>
        <v>3.5496849824563421</v>
      </c>
      <c r="G5" s="148">
        <f t="shared" si="0"/>
        <v>18742.336707369486</v>
      </c>
      <c r="H5" s="144">
        <v>6</v>
      </c>
      <c r="I5" s="32"/>
    </row>
    <row r="6" spans="2:9">
      <c r="B6" s="95">
        <f>'Decimal Degrees to Grid '!$C$3</f>
        <v>34.065379999999998</v>
      </c>
      <c r="C6" s="215">
        <f>'Decimal Degrees to Grid '!$D$3</f>
        <v>-84.554929999999999</v>
      </c>
      <c r="D6" s="211">
        <f>'Decimal Degrees to Grid '!$F$48</f>
        <v>34.0625</v>
      </c>
      <c r="E6" s="215">
        <f>'Decimal Degrees to Grid '!$F$21</f>
        <v>-84.55</v>
      </c>
      <c r="F6" s="141">
        <f>3963.19*((2*ASIN(SQRT((SIN((RADIANS(Lat_RX_1)-RADIANS(Lat_RX_5))/2)^2)+COS(RADIANS(Lat_RX_1))*COS(RADIANS(Lat_RX_5))*(SIN(RADIANS(Lon_RX_1)-RADIANS(Lon_RX_5))/2)^2))))</f>
        <v>0.34567422228591094</v>
      </c>
      <c r="G6" s="148">
        <f t="shared" si="0"/>
        <v>1825.1598936696098</v>
      </c>
      <c r="H6" s="144">
        <v>8</v>
      </c>
      <c r="I6" s="32"/>
    </row>
    <row r="7" spans="2:9">
      <c r="B7" s="95">
        <f>'Decimal Degrees to Grid '!$C$3</f>
        <v>34.065379999999998</v>
      </c>
      <c r="C7" s="215">
        <f>'Decimal Degrees to Grid '!$D$3</f>
        <v>-84.554929999999999</v>
      </c>
      <c r="D7" s="211">
        <f>'Decimal Degrees to Grid '!$F$51</f>
        <v>34.06527777777778</v>
      </c>
      <c r="E7" s="215">
        <f>'Decimal Degrees to Grid '!$F$24</f>
        <v>-84.554861111111109</v>
      </c>
      <c r="F7" s="141">
        <f>3963.19*((2*ASIN(SQRT((SIN((RADIANS(Lat_RX_1)-RADIANS(Lat_RX_6))/2)^2)+COS(RADIANS(Lat_RX_1))*COS(RADIANS(Lat_RX_6))*(SIN(RADIANS(Lon_RX_1)-RADIANS(Lon_RX_6))/2)^2))))</f>
        <v>8.0980221228484518E-3</v>
      </c>
      <c r="G7" s="148">
        <f t="shared" si="0"/>
        <v>42.757556808639826</v>
      </c>
      <c r="H7" s="144">
        <v>10</v>
      </c>
      <c r="I7" s="32"/>
    </row>
    <row r="8" spans="2:9">
      <c r="B8" s="95">
        <f>'Decimal Degrees to Grid '!$C$3</f>
        <v>34.065379999999998</v>
      </c>
      <c r="C8" s="215">
        <f>'Decimal Degrees to Grid '!$D$3</f>
        <v>-84.554929999999999</v>
      </c>
      <c r="D8" s="211">
        <f>'Decimal Degrees to Grid '!$F$54</f>
        <v>34.065364583333334</v>
      </c>
      <c r="E8" s="215">
        <f>'Decimal Degrees to Grid '!$F$27</f>
        <v>-84.554895833333333</v>
      </c>
      <c r="F8" s="141">
        <f>3963.19*((2*ASIN(SQRT((SIN((RADIANS(Lat_RX_1)-RADIANS(Lat_RX_7))/2)^2)+COS(RADIANS(Lat_RX_1))*COS(RADIANS(Lat_RX_7))*(SIN(RADIANS(Lon_RX_1)-RADIANS(Lon_RX_7))/2)^2))))</f>
        <v>2.229368211114718E-3</v>
      </c>
      <c r="G8" s="148">
        <f t="shared" si="0"/>
        <v>11.77106415468571</v>
      </c>
      <c r="H8" s="144">
        <v>12</v>
      </c>
      <c r="I8" s="32"/>
    </row>
    <row r="9" spans="2:9">
      <c r="B9" s="95">
        <f>'Decimal Degrees to Grid '!$C$3</f>
        <v>34.065379999999998</v>
      </c>
      <c r="C9" s="215">
        <f>'Decimal Degrees to Grid '!$D$3</f>
        <v>-84.554929999999999</v>
      </c>
      <c r="D9" s="211">
        <f>'Decimal Degrees to Grid '!$F$57</f>
        <v>34.065379774999997</v>
      </c>
      <c r="E9" s="215">
        <f>'Decimal Degrees to Grid '!$F$30</f>
        <v>-84.554930555555558</v>
      </c>
      <c r="F9" s="141">
        <f>3963.19*((2*ASIN(SQRT((SIN((RADIANS(Lat_RX_1)-RADIANS(Lat_RX_8))/2)^2)+COS(RADIANS(Lat_RX_1))*COS(RADIANS(Lat_RX_8))*(SIN(RADIANS(Lon_RX_1)-RADIANS(Lon_RX_8))/2)^2))))</f>
        <v>3.543464945562265E-5</v>
      </c>
      <c r="G9" s="148">
        <f t="shared" ref="G9:G10" si="1">F9*5280</f>
        <v>0.18709494912568758</v>
      </c>
      <c r="H9" s="144">
        <v>14</v>
      </c>
    </row>
    <row r="10" spans="2:9" ht="15.75" thickBot="1">
      <c r="B10" s="208">
        <f>'Decimal Degrees to Grid '!$C$3</f>
        <v>34.065379999999998</v>
      </c>
      <c r="C10" s="216">
        <f>'Decimal Degrees to Grid '!$D$3</f>
        <v>-84.554929999999999</v>
      </c>
      <c r="D10" s="212">
        <f>'Decimal Degrees to Grid '!$F$60</f>
        <v>34.065379774999997</v>
      </c>
      <c r="E10" s="216">
        <f>'Decimal Degrees to Grid '!$F$33</f>
        <v>-84.554930121666672</v>
      </c>
      <c r="F10" s="138">
        <f>3963.19*((2*ASIN(SQRT((SIN((RADIANS(Lat_RX_1)-RADIANS(Lat_RX_9))/2)^2)+COS(RADIANS(Lat_RX_1))*COS(RADIANS(Lat_RX_9))*(SIN(RADIANS(Lon_RX_1)-RADIANS(Lon_RX_9))/2)^2))))</f>
        <v>1.7053538666621715E-5</v>
      </c>
      <c r="G10" s="149">
        <f t="shared" si="1"/>
        <v>9.0042684159762659E-2</v>
      </c>
      <c r="H10" s="145">
        <v>16</v>
      </c>
    </row>
    <row r="11" spans="2:9" ht="19.5" thickBot="1">
      <c r="B11" s="252" t="s">
        <v>189</v>
      </c>
      <c r="C11" s="233"/>
      <c r="D11" s="233"/>
      <c r="E11" s="233"/>
      <c r="F11" s="233"/>
      <c r="G11" s="233"/>
      <c r="H11" s="234"/>
    </row>
  </sheetData>
  <mergeCells count="1">
    <mergeCell ref="B11:H1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G53"/>
  <sheetViews>
    <sheetView workbookViewId="0">
      <selection activeCell="I3" sqref="I3"/>
    </sheetView>
  </sheetViews>
  <sheetFormatPr defaultRowHeight="15"/>
  <cols>
    <col min="1" max="1" width="4.85546875" customWidth="1"/>
    <col min="2" max="2" width="28.42578125" customWidth="1"/>
    <col min="3" max="3" width="22.140625" style="1" customWidth="1"/>
    <col min="4" max="4" width="4.85546875" customWidth="1"/>
    <col min="5" max="5" width="29" customWidth="1"/>
    <col min="6" max="6" width="18.5703125" customWidth="1"/>
    <col min="7" max="7" width="15" customWidth="1"/>
  </cols>
  <sheetData>
    <row r="1" spans="2:7" ht="15.75" thickBot="1"/>
    <row r="2" spans="2:7" ht="15.75" thickBot="1">
      <c r="B2" s="183"/>
      <c r="C2" s="76"/>
      <c r="D2" s="185"/>
      <c r="E2" s="193" t="s">
        <v>173</v>
      </c>
      <c r="F2" s="194" t="s">
        <v>174</v>
      </c>
      <c r="G2" s="121" t="s">
        <v>175</v>
      </c>
    </row>
    <row r="3" spans="2:7" ht="15" customHeight="1" thickTop="1">
      <c r="B3" s="191" t="s">
        <v>209</v>
      </c>
      <c r="C3" s="219" t="s">
        <v>176</v>
      </c>
      <c r="D3" s="217"/>
      <c r="E3" s="189">
        <f>C42/3600000</f>
        <v>32.221469907408888</v>
      </c>
      <c r="F3" s="187">
        <f>C41/3600000</f>
        <v>-90.323029947927495</v>
      </c>
      <c r="G3" s="253">
        <f>3963.19*((2*ASIN(SQRT((SIN((RADIANS(Latitude_1)-RADIANS(Latitude_2))/2)^2)+COS(RADIANS(Latitude_1))*COS(RADIANS(Latitude_2))*(SIN(RADIANS(Longitude_1)-RADIANS(Longitude_2))/2)^2))))</f>
        <v>188.3716945439858</v>
      </c>
    </row>
    <row r="4" spans="2:7" ht="15" customHeight="1" thickBot="1">
      <c r="B4" s="192" t="s">
        <v>210</v>
      </c>
      <c r="C4" s="220" t="s">
        <v>177</v>
      </c>
      <c r="D4" s="218"/>
      <c r="E4" s="190">
        <f>F42/3600000</f>
        <v>31.154541377316114</v>
      </c>
      <c r="F4" s="188">
        <f>F41/3600000</f>
        <v>-93.268739872716665</v>
      </c>
      <c r="G4" s="254">
        <f>3963.19*((2*ASIN(SQRT((SIN((RADIANS(Lat_RX_1)-RADIANS(Lat_RX_2))/2)^2)+COS(RADIANS(Lat_RX_1))*COS(RADIANS(Lat_RX_2))*(SIN(RADIANS(Lon_RX_1)-RADIANS(Lon_RX_2))/2)^2))))</f>
        <v>387.59398974947572</v>
      </c>
    </row>
    <row r="5" spans="2:7" ht="19.5" thickBot="1">
      <c r="B5" s="232" t="s">
        <v>190</v>
      </c>
      <c r="C5" s="233"/>
      <c r="D5" s="233"/>
      <c r="E5" s="233"/>
      <c r="F5" s="233"/>
      <c r="G5" s="234"/>
    </row>
    <row r="6" spans="2:7" ht="15.75" thickBot="1"/>
    <row r="7" spans="2:7" ht="19.5" thickBot="1">
      <c r="B7" s="240" t="s">
        <v>171</v>
      </c>
      <c r="C7" s="241"/>
      <c r="D7" s="197"/>
      <c r="E7" s="240" t="s">
        <v>172</v>
      </c>
      <c r="F7" s="241"/>
    </row>
    <row r="8" spans="2:7" ht="15.75" thickTop="1">
      <c r="B8" s="157" t="s">
        <v>113</v>
      </c>
      <c r="C8" s="158">
        <f>LEN(C3)</f>
        <v>16</v>
      </c>
      <c r="E8" s="157" t="s">
        <v>113</v>
      </c>
      <c r="F8" s="158">
        <f>LEN(C4)</f>
        <v>16</v>
      </c>
    </row>
    <row r="9" spans="2:7">
      <c r="B9" s="152" t="s">
        <v>115</v>
      </c>
      <c r="C9" s="153" t="str">
        <f>LEFT(C3,1)</f>
        <v>E</v>
      </c>
      <c r="E9" s="152" t="s">
        <v>115</v>
      </c>
      <c r="F9" s="153" t="str">
        <f>LEFT(C4,1)</f>
        <v>E</v>
      </c>
    </row>
    <row r="10" spans="2:7">
      <c r="B10" s="152" t="s">
        <v>116</v>
      </c>
      <c r="C10" s="153" t="str">
        <f>MID(C3,2,1)</f>
        <v>M</v>
      </c>
      <c r="E10" s="152" t="s">
        <v>116</v>
      </c>
      <c r="F10" s="153" t="str">
        <f>MID(C4,2,1)</f>
        <v>M</v>
      </c>
    </row>
    <row r="11" spans="2:7">
      <c r="B11" s="152" t="s">
        <v>114</v>
      </c>
      <c r="C11" s="153" t="str">
        <f>MID(C3,3,1)</f>
        <v>4</v>
      </c>
      <c r="E11" s="152" t="s">
        <v>114</v>
      </c>
      <c r="F11" s="153" t="str">
        <f>MID(C4,3,1)</f>
        <v>3</v>
      </c>
    </row>
    <row r="12" spans="2:7">
      <c r="B12" s="152" t="s">
        <v>117</v>
      </c>
      <c r="C12" s="153" t="str">
        <f>MID(C3,4,1)</f>
        <v>2</v>
      </c>
      <c r="E12" s="152" t="s">
        <v>117</v>
      </c>
      <c r="F12" s="153" t="str">
        <f>MID(C4,4,1)</f>
        <v>1</v>
      </c>
    </row>
    <row r="13" spans="2:7">
      <c r="B13" s="152" t="s">
        <v>118</v>
      </c>
      <c r="C13" s="153" t="str">
        <f>MID(C3,5,1)</f>
        <v>u</v>
      </c>
      <c r="E13" s="152" t="s">
        <v>118</v>
      </c>
      <c r="F13" s="153" t="str">
        <f>MID(C4,5,1)</f>
        <v>i</v>
      </c>
    </row>
    <row r="14" spans="2:7">
      <c r="B14" s="152" t="s">
        <v>119</v>
      </c>
      <c r="C14" s="153" t="str">
        <f>MID(C3,6,1)</f>
        <v>f</v>
      </c>
      <c r="E14" s="152" t="s">
        <v>119</v>
      </c>
      <c r="F14" s="153" t="str">
        <f>MID(C4,6,1)</f>
        <v>d</v>
      </c>
    </row>
    <row r="15" spans="2:7">
      <c r="B15" s="152" t="s">
        <v>120</v>
      </c>
      <c r="C15" s="153" t="str">
        <f>MID(C3,7,1)</f>
        <v>1</v>
      </c>
      <c r="E15" s="152" t="s">
        <v>120</v>
      </c>
      <c r="F15" s="153" t="str">
        <f>MID(C4,7,1)</f>
        <v>7</v>
      </c>
    </row>
    <row r="16" spans="2:7">
      <c r="B16" s="152" t="s">
        <v>121</v>
      </c>
      <c r="C16" s="153" t="str">
        <f>MID(C3,8,1)</f>
        <v>3</v>
      </c>
      <c r="E16" s="152" t="s">
        <v>121</v>
      </c>
      <c r="F16" s="153" t="str">
        <f>MID(C4,8,1)</f>
        <v>7</v>
      </c>
    </row>
    <row r="17" spans="2:6">
      <c r="B17" s="152" t="s">
        <v>122</v>
      </c>
      <c r="C17" s="153" t="str">
        <f>MID(C3,9,1)</f>
        <v>f</v>
      </c>
      <c r="E17" s="152" t="s">
        <v>122</v>
      </c>
      <c r="F17" s="153" t="str">
        <f>MID(C4,9,1)</f>
        <v>s</v>
      </c>
    </row>
    <row r="18" spans="2:6">
      <c r="B18" s="152" t="s">
        <v>123</v>
      </c>
      <c r="C18" s="153" t="str">
        <f>MID(C3,10,1)</f>
        <v>d</v>
      </c>
      <c r="E18" s="152" t="s">
        <v>123</v>
      </c>
      <c r="F18" s="153" t="str">
        <f>MID(C4,10,1)</f>
        <v>c</v>
      </c>
    </row>
    <row r="19" spans="2:6">
      <c r="B19" s="152" t="s">
        <v>124</v>
      </c>
      <c r="C19" s="153" t="str">
        <f>MID(C3,11,1)</f>
        <v>6</v>
      </c>
      <c r="E19" s="152" t="s">
        <v>124</v>
      </c>
      <c r="F19" s="153" t="str">
        <f>MID(C4,11,1)</f>
        <v>0</v>
      </c>
    </row>
    <row r="20" spans="2:6">
      <c r="B20" s="152" t="s">
        <v>125</v>
      </c>
      <c r="C20" s="153" t="str">
        <f>MID(C3,12,1)</f>
        <v>6</v>
      </c>
      <c r="E20" s="152" t="s">
        <v>125</v>
      </c>
      <c r="F20" s="153" t="str">
        <f>MID(C4,12,1)</f>
        <v>1</v>
      </c>
    </row>
    <row r="21" spans="2:6">
      <c r="B21" s="152" t="s">
        <v>126</v>
      </c>
      <c r="C21" s="153" t="str">
        <f>MID(C3,13,1)</f>
        <v>r</v>
      </c>
      <c r="E21" s="152" t="s">
        <v>126</v>
      </c>
      <c r="F21" s="153" t="str">
        <f>MID(C4,13,1)</f>
        <v>g</v>
      </c>
    </row>
    <row r="22" spans="2:6">
      <c r="B22" s="152" t="s">
        <v>127</v>
      </c>
      <c r="C22" s="153" t="str">
        <f>MID(C3,14,1)</f>
        <v>q</v>
      </c>
      <c r="E22" s="152" t="s">
        <v>127</v>
      </c>
      <c r="F22" s="153" t="str">
        <f>MID(C4,14,1)</f>
        <v>o</v>
      </c>
    </row>
    <row r="23" spans="2:6">
      <c r="B23" s="152" t="s">
        <v>128</v>
      </c>
      <c r="C23" s="153" t="str">
        <f>MID(C3,15,1)</f>
        <v>6</v>
      </c>
      <c r="E23" s="152" t="s">
        <v>128</v>
      </c>
      <c r="F23" s="153" t="str">
        <f>MID(C4,15,1)</f>
        <v>9</v>
      </c>
    </row>
    <row r="24" spans="2:6">
      <c r="B24" s="152" t="s">
        <v>129</v>
      </c>
      <c r="C24" s="153" t="str">
        <f>MID(C3,16,1)</f>
        <v>0</v>
      </c>
      <c r="E24" s="152" t="s">
        <v>129</v>
      </c>
      <c r="F24" s="153" t="str">
        <f>MID(C4,16,1)</f>
        <v>0</v>
      </c>
    </row>
    <row r="25" spans="2:6">
      <c r="B25" s="152" t="s">
        <v>130</v>
      </c>
      <c r="C25" s="153">
        <f>IF($C9="A",-576000000,IF($C9="B",-504000000,IF($C9="C",-432000000,IF($C9="D",-360000000,IF($C9="E",-288000000,IF($C9="F",-216000000,IF($C9="G",-144000000,IF($C9="H",-72000000,IF($C9="I",0,IF($C9="J",0,IF($C9="K",72000000,IF($C9="L",144000000,IF($C9="M",216000000,IF($C9="N",288000000,IF($C9="O",360000000,IF($C9="P",432000000,IF($C9="Q",504000000,IF($C9="R",576000000,))))))))))))))))))</f>
        <v>-288000000</v>
      </c>
      <c r="E25" s="152" t="s">
        <v>130</v>
      </c>
      <c r="F25" s="153">
        <f>IF($F9="A",-576000000,IF($F9="B",-504000000,IF($F9="C",-432000000,IF($F9="D",-360000000,IF($F9="E",-288000000,IF($F9="F",-216000000,IF($F9="G",-144000000,IF($F9="H",-72000000,IF($F9="I",0,IF($F9="J",0,IF($F9="K",72000000,IF($F9="L",144000000,IF($F9="M",216000000,IF($F9="N",288000000,IF($F9="O",360000000,IF($F9="P",432000000,IF($F9="Q",504000000,IF($F9="R",576000000,))))))))))))))))))</f>
        <v>-288000000</v>
      </c>
    </row>
    <row r="26" spans="2:6">
      <c r="B26" s="152" t="s">
        <v>131</v>
      </c>
      <c r="C26" s="153">
        <f>IF($C10="A",-288000000,IF($C10="B",-252000000,IF($C10="C",-216000000,IF($C10="D",-180000000,IF($C10="E",-144000000,IF($C10="F",-108000000,IF($C10="G",-72000000,IF($C10="H",-36000000,IF($C10="I",0,IF($C10="J",0,IF($C10="K",36000000,IF($C10="L",72000000,IF($C10="M",108000000,IF($C10="N",144000000,IF($C10="O",180000000,IF($C10="P",216000000,IF($C10="Q",252000000,IF($C10="R",288000000,))))))))))))))))))</f>
        <v>108000000</v>
      </c>
      <c r="E26" s="152" t="s">
        <v>131</v>
      </c>
      <c r="F26" s="153">
        <f>IF($F10="A",-288000000,IF($F10="B",-252000000,IF($F10="C",-216000000,IF($F10="D",-180000000,IF($F10="E",-144000000,IF($F10="F",-108000000,IF($F10="G",-72000000,IF($F10="H",-36000000,IF($F10="I",0,IF($F10="J",0,IF($F10="K",36000000,IF($F10="L",72000000,IF($F10="M",108000000,IF($F10="N",144000000,IF($F10="O",180000000,IF($F10="P",216000000,IF($F10="Q",252000000,IF($F10="R",288000000,))))))))))))))))))</f>
        <v>108000000</v>
      </c>
    </row>
    <row r="27" spans="2:6">
      <c r="B27" s="152" t="s">
        <v>132</v>
      </c>
      <c r="C27" s="153" t="str">
        <f>IF(AND($C$25&lt;0,$C11="0"),"-64800000",IF(AND($C$25&lt;0,$C11="1"),"-57600000",IF(AND($C$25&lt;0,$C11="2"),"-50400000",IF(AND($C$25&lt;0,$C11="3"),"-43200000",IF(AND($C$25&lt;0,$C11="4"),"-36000000",IF(AND($C$25&lt;0,$C11="5"),"-28800000",IF(AND($C$25&lt;0,$C11="6"),"-21600000",IF(AND($C$25&lt;0,$C11="7"),"-14400000",IF(AND($C$25&lt;0,$C11="8"),"-7200000",IF(AND($C$25&lt;0,$C11="9"),"0",IF(AND($C$25&gt;0,$C11="0"),"0",IF(AND($C$25&gt;0,$C11="1"),"7200000",IF(AND($C$25&gt;0,$C11="2"),"14400000",IF(AND($C$25&gt;0,$C11="3"),"21600000",IF(AND($C$25&gt;0,$C11="4"),"28800000",IF(AND($C$25&gt;0,$C11="5"),"36000000",IF(AND($C$25&gt;0,$C11="6"),"43200000",IF(AND($C$25&gt;0,$C11="7"),"50400000",IF(AND($C$25&gt;0,$C11="8"),"57600000",IF(AND($C$25&gt;0,$C11="9"),"64800000",))))))))))))))))))))</f>
        <v>-36000000</v>
      </c>
      <c r="E27" s="152" t="s">
        <v>132</v>
      </c>
      <c r="F27" s="153" t="str">
        <f>IF(AND($F$25&lt;0,$F11="0"),"-64800000",IF(AND($F$25&lt;0,$F11="1"),"-57600000",IF(AND($F$25&lt;0,$F11="2"),"-50400000",IF(AND($F$25&lt;0,$F11="3"),"-43200000",IF(AND($F$25&lt;0,$F11="4"),"-36000000",IF(AND($F$25&lt;0,$F11="5"),"-28800000",IF(AND($F$25&lt;0,$F11="6"),"-21600000",IF(AND($F$25&lt;0,$F11="7"),"-14400000",IF(AND($F$25&lt;0,$F11="8"),"-7200000",IF(AND($F$25&lt;0,$F11="9"),"0",IF(AND($F$25&gt;0,$F11="0"),"0",IF(AND($F$25&gt;0,$F11="1"),"7200000",IF(AND($F$25&gt;0,$F11="2"),"14400000",IF(AND($F$25&gt;0,$F11="3"),"21600000",IF(AND($F$25&gt;0,$F11="4"),"28800000",IF(AND($F$25&gt;0,$F11="5"),"36000000",IF(AND($F$25&gt;0,$F11="6"),"43200000",IF(AND($F$25&gt;0,$F11="7"),"50400000",IF(AND($F$25&gt;0,$F11="8"),"57600000",IF(AND($F$25&gt;0,$F11="9"),"64800000",))))))))))))))))))))</f>
        <v>-43200000</v>
      </c>
    </row>
    <row r="28" spans="2:6">
      <c r="B28" s="152" t="s">
        <v>133</v>
      </c>
      <c r="C28" s="153" t="str">
        <f>IF(AND($C$26&lt;0,$C12="0"),"-32400000",IF(AND($C$26&lt;0,$C12="1"),"-28800000",IF(AND($C$26&lt;0,$C12="2"),"-25200000",IF(AND($C$26&lt;0,$C12="3"),"-21600000",IF(AND($C$26&lt;0,$C12="4"),"-18000000",IF(AND($C$26&lt;0,$C12="5"),"-14400000",IF(AND($C$26&lt;0,$C12="6"),"-10800000",IF(AND($C$26&lt;0,$C12="7"),"-7200000",IF(AND($C$26&lt;0,$C12="8"),"-3600000",IF(AND($C$26&lt;0,$C12="9"),"0",IF(AND($C$26&gt;0,$C12="0"),"0",IF(AND($C$26&gt;0,$C12="1"),"3600000",IF(AND($C$26&gt;0,$C12="2"),"7200000",IF(AND($C$26&gt;0,$C12="3"),"10800000",IF(AND($C$26&gt;0,$C12="4"),"14400000",IF(AND($C$26&gt;0,$C12="5"),"18000000",IF(AND($C$26&gt;0,$C12="6"),"21600000",IF(AND($C$26&gt;0,$C12="7"),"25200000",IF(AND($C$26&gt;0,$C12="8"),"28800000",IF(AND($C$26&gt;0,$C12="9"),"32400000",))))))))))))))))))))</f>
        <v>7200000</v>
      </c>
      <c r="E28" s="152" t="s">
        <v>133</v>
      </c>
      <c r="F28" s="153" t="str">
        <f>IF(AND($F$26&lt;0,$F12="0"),"-32400000",IF(AND($F$26&lt;0,$F12="1"),"-28800000",IF(AND($F$26&lt;0,$F12="2"),"-25200000",IF(AND($F$26&lt;0,$F12="3"),"-21600000",IF(AND($F$26&lt;0,$F12="4"),"-18000000",IF(AND($F$26&lt;0,$F12="5"),"-14400000",IF(AND($F$26&lt;0,$F12="6"),"-10800000",IF(AND($F$26&lt;0,$F12="7"),"-7200000",IF(AND($F$26&lt;0,$F12="8"),"-3600000",IF(AND($F$26&lt;0,$F12="9"),"0",IF(AND($F$26&gt;0,$F12="0"),"0",IF(AND($F$26&gt;0,$F12="1"),"3600000",IF(AND($F$26&gt;0,$F12="2"),"7200000",IF(AND($F$26&gt;0,$F12="3"),"10800000",IF(AND($F$26&gt;0,$F12="4"),"14400000",IF(AND($F$26&gt;0,$F12="5"),"18000000",IF(AND($F$26&gt;0,$F12="6"),"21600000",IF(AND($F$26&gt;0,$F12="7"),"25200000",IF(AND($F$26&gt;0,$F12="8"),"28800000",IF(AND($F$26&gt;0,$F12="9"),"32400000",))))))))))))))))))))</f>
        <v>3600000</v>
      </c>
    </row>
    <row r="29" spans="2:6">
      <c r="B29" s="152" t="s">
        <v>134</v>
      </c>
      <c r="C29" s="153" t="str">
        <f>IF(AND($C$25&lt;0,$C13="a"),"-6900000",IF(AND($C$25&lt;0,$C13="b"),"-6600000",IF(AND($C$25&lt;0,$C13="c"),"-6300000",IF(AND($C$25&lt;0,$C13="d"),"-6000000",IF(AND($C$25&lt;0,$C13="e"),"-5700000",IF(AND($C$25&lt;0,$C13="f"),"-5400000",IF(AND($C$25&lt;0,$C13="g"),"-5100000",IF(AND($C$25&lt;0,$C13="h"),"-4800000",IF(AND($C$25&lt;0,$C13="i"),"-4500000",IF(AND($C$25&lt;0,$C13="j"),"-4200000",IF(AND($C$25&lt;0,$C13="k"),"-3900000",IF(AND($C$25&lt;0,$C13="l"),"-3600000",IF(AND($C$25&lt;0,$C13="m"),"-3300000",IF(AND($C$25&lt;0,$C13="n"),"-3000000",IF(AND($C$25&lt;0,$C13="o"),"-2700000",IF(AND($C$25&lt;0,$C13="p"),"-2400000",IF(AND($C$25&lt;0,$C13="q"),"-2100000",IF(AND($C$25&lt;0,$C13="r"),"-1800000",IF(AND($C$25&lt;0,$C13="s"),"-1500000",IF(AND($C$25&lt;0,$C13="t"),"-1200000",IF(AND($C$25&lt;0,$C13="u"),"-900000",IF(AND($C$25&lt;0,$C13="v"),"-600000",IF(AND($C$25&lt;0,$C13="w"),"-300000",IF(AND($C$25&lt;0,$C13="x"),"0",IF(AND($C$25&gt;0,$C13="a"),"0",IF(AND($C$25&gt;0,$C13="b"),"300000",IF(AND($C$25&gt;0,$C13="c"),"600000",IF(AND($C$25&gt;0,$C13="d"),"900000",IF(AND($C$25&gt;0,$C13="e"),"1200000",IF(AND($C$25&gt;0,$C13="f"),"1500000",IF(AND($C$25&gt;0,$C13="g"),"1800000",IF(AND($C$25&gt;0,$C13="h"),"2100000",IF(AND($C$25&gt;0,$C13="i"),"2400000",IF(AND($C$25&gt;0,$C13="j"),"2700000",IF(AND($C$25&gt;0,$C13="k"),"3000000",IF(AND($C$25&gt;0,$C13="l"),"3300000",IF(AND($C$25&gt;0,$C13="m"),"3600000",IF(AND($C$25&gt;0,$C13="n"),"3900000",IF(AND($C$25&gt;0,$C13="o"),"4200000",IF(AND($C$25&gt;0,$C13="p"),"4500000",IF(AND($C$25&gt;0,$C13="q"),"4800000",IF(AND($C$25&gt;0,$C13="r"),"5100000",IF(AND($C$25&gt;0,$C13="s"),"5400000",IF(AND($C$25&gt;0,$C13="t"),"5700000",IF(AND($C$25&gt;0,$C13="u"),"6000000",IF(AND($C$25&gt;0,$C13="v"),"6300000",IF(AND($C$25&gt;0,$C13="w"),"6600000",IF(AND($C$25&gt;0,$C13="x"),"6900000",))))))))))))))))))))))))))))))))))))))))))))))))</f>
        <v>-900000</v>
      </c>
      <c r="E29" s="152" t="s">
        <v>134</v>
      </c>
      <c r="F29" s="153" t="str">
        <f>IF(AND($F$25&lt;0,$F13="a"),"-6900000",IF(AND($F$25&lt;0,$F13="b"),"-6600000",IF(AND($F$25&lt;0,$F13="c"),"-6300000",IF(AND($F$25&lt;0,$F13="d"),"-6000000",IF(AND($F$25&lt;0,$F13="e"),"-5700000",IF(AND($F$25&lt;0,$F13="f"),"-5400000",IF(AND($F$25&lt;0,$F13="g"),"-5100000",IF(AND($F$25&lt;0,$F13="h"),"-4800000",IF(AND($F$25&lt;0,$F13="i"),"-4500000",IF(AND($F$25&lt;0,$F13="j"),"-4200000",IF(AND($F$25&lt;0,$F13="k"),"-3900000",IF(AND($F$25&lt;0,$F13="l"),"-3600000",IF(AND($F$25&lt;0,$F13="m"),"-3300000",IF(AND($F$25&lt;0,$F13="n"),"-3000000",IF(AND($F$25&lt;0,$F13="o"),"-2700000",IF(AND($F$25&lt;0,$F13="p"),"-2400000",IF(AND($F$25&lt;0,$F13="q"),"-2100000",IF(AND($F$25&lt;0,$F13="r"),"-1800000",IF(AND($F$25&lt;0,$F13="s"),"-1500000",IF(AND($F$25&lt;0,$F13="t"),"-1200000",IF(AND($F$25&lt;0,$F13="u"),"-900000",IF(AND($F$25&lt;0,$F13="v"),"-600000",IF(AND($F$25&lt;0,$F13="w"),"-300000",IF(AND($F$25&lt;0,$F13="x"),"0",IF(AND($F$25&gt;0,$F13="a"),"0",IF(AND($F$25&gt;0,$F13="b"),"300000",IF(AND($F$25&gt;0,$F13="c"),"600000",IF(AND($F$25&gt;0,$F13="d"),"900000",IF(AND($F$25&gt;0,$F13="e"),"1200000",IF(AND($F$25&gt;0,$F13="f"),"1500000",IF(AND($F$25&gt;0,$F13="g"),"1800000",IF(AND($F$25&gt;0,$F13="h"),"2100000",IF(AND($F$25&gt;0,$F13="i"),"2400000",IF(AND($F$25&gt;0,$F13="j"),"2700000",IF(AND($F$25&gt;0,$F13="k"),"3000000",IF(AND($F$25&gt;0,$F13="l"),"3300000",IF(AND($F$25&gt;0,$F13="m"),"3600000",IF(AND($F$25&gt;0,$F13="n"),"3900000",IF(AND($F$25&gt;0,$F13="o"),"4200000",IF(AND($F$25&gt;0,$F13="p"),"4500000",IF(AND($F$25&gt;0,$F13="q"),"4800000",IF(AND($F$25&gt;0,$F13="r"),"5100000",IF(AND($F$25&gt;0,$F13="s"),"5400000",IF(AND($F$25&gt;0,$F13="t"),"5700000",IF(AND($F$25&gt;0,$F13="u"),"6000000",IF(AND($F$25&gt;0,$F13="v"),"6300000",IF(AND($F$25&gt;0,$F13="w"),"6600000",IF(AND($F$25&gt;0,$F13="x"),"6900000",))))))))))))))))))))))))))))))))))))))))))))))))</f>
        <v>-4500000</v>
      </c>
    </row>
    <row r="30" spans="2:6">
      <c r="B30" s="152" t="s">
        <v>135</v>
      </c>
      <c r="C30" s="153" t="str">
        <f>IF(AND($C$26&lt;0,$C14="a"),"-3450000",IF(AND($C$26&lt;0,$C14="b"),"-3300000",IF(AND($C$26&lt;0,$C14="c"),"-3150000",IF(AND($C$26&lt;0,$C14="d"),"-3000000",IF(AND($C$26&lt;0,$C14="e"),"-2850000",IF(AND($C$26&lt;0,$C14="f"),"-2700000",IF(AND($C$26&lt;0,$C14="g"),"-2550000",IF(AND($C$26&lt;0,$C14="h"),"-2400000",IF(AND($C$26&lt;0,$C14="i"),"-2250000",IF(AND($C$26&lt;0,$C14="j"),"-2100000",IF(AND($C$26&lt;0,$C14="k"),"-1950000",IF(AND($C$26&lt;0,$C14="l"),"-1800000",IF(AND($C$26&lt;0,$C14="m"),"-1650000",IF(AND($C$26&lt;0,$C14="n"),"-1500000",IF(AND($C$26&lt;0,$C14="o"),"-1350000",IF(AND($C$26&lt;0,$C14="p"),"-1200000",IF(AND($C$26&lt;0,$C14="q"),"-1050000",IF(AND($C$26&lt;0,$C14="r"),"-900000",IF(AND($C$26&lt;0,$C14="s"),"-750000",IF(AND($C$26&lt;0,$C14="t"),"-600000",IF(AND($C$26&lt;0,$C14="u"),"-450000",IF(AND($C$26&lt;0,$C14="v"),"-300000",IF(AND($C$26&lt;0,$C14="w"),"-150000",IF(AND($C$26&lt;0,$C14="x"),"0",IF(AND($C$26&gt;0,$C14="a"),"0",IF(AND($C$26&gt;0,$C14="b"),"150000",IF(AND($C$26&gt;0,$C14="c"),"300000",IF(AND($C$26&gt;0,$C14="d"),"450000",IF(AND($C$26&gt;0,$C14="e"),"600000",IF(AND($C$26&gt;0,$C14="f"),"750000",IF(AND($C$26&gt;0,$C14="g"),"900000",IF(AND($C$26&gt;0,$C14="h"),"1050000",IF(AND($C$26&gt;0,$C14="i"),"1200000",IF(AND($C$26&gt;0,$C14="j"),"1350000",IF(AND($C$26&gt;0,$C14="k"),"1500000",IF(AND($C$26&gt;0,$C14="l"),"1650000",IF(AND($C$26&gt;0,$C14="m"),"1800000",IF(AND($C$26&gt;0,$C14="n"),"1950000",IF(AND($C$26&gt;0,$C14="o"),"2100000",IF(AND($C$26&gt;0,$C14="p"),"2250000",IF(AND($C$26&gt;0,$C14="q"),"2400000",IF(AND($C$26&gt;0,$C14="r"),"2550000",IF(AND($C$26&gt;0,$C14="s"),"2700000",IF(AND($C$26&gt;0,$C14="t"),"2850000",IF(AND($C$26&gt;0,$C14="u"),"3000000",IF(AND($C$26&gt;0,$C14="v"),"3150000",IF(AND($C$26&gt;0,$C14="w"),"3300000",IF(AND($C$26&gt;0,$C14="x"),"3450000",))))))))))))))))))))))))))))))))))))))))))))))))</f>
        <v>750000</v>
      </c>
      <c r="E30" s="152" t="s">
        <v>135</v>
      </c>
      <c r="F30" s="153" t="str">
        <f>IF(AND($F$26&lt;0,$F14="a"),"-3450000",IF(AND($F$26&lt;0,$F14="b"),"-3300000",IF(AND($F$26&lt;0,$F14="c"),"-3150000",IF(AND($F$26&lt;0,$F14="d"),"-3000000",IF(AND($F$26&lt;0,$F14="e"),"-2850000",IF(AND($F$26&lt;0,$F14="f"),"-2700000",IF(AND($F$26&lt;0,$F14="g"),"-2550000",IF(AND($F$26&lt;0,$F14="h"),"-2400000",IF(AND($F$26&lt;0,$F14="i"),"-2250000",IF(AND($F$26&lt;0,$F14="j"),"-2100000",IF(AND($F$26&lt;0,$F14="k"),"-1950000",IF(AND($F$26&lt;0,$F14="l"),"-1800000",IF(AND($F$26&lt;0,$F14="m"),"-1650000",IF(AND($F$26&lt;0,$F14="n"),"-1500000",IF(AND($F$26&lt;0,$F14="o"),"-1350000",IF(AND($F$26&lt;0,$F14="p"),"-1200000",IF(AND($F$26&lt;0,$F14="q"),"-1050000",IF(AND($F$26&lt;0,$F14="r"),"-900000",IF(AND($F$26&lt;0,$F14="s"),"-750000",IF(AND($F$26&lt;0,$F14="t"),"-600000",IF(AND($F$26&lt;0,$F14="u"),"-450000",IF(AND($F$26&lt;0,$F14="v"),"-300000",IF(AND($F$26&lt;0,$F14="w"),"-150000",IF(AND($F$26&lt;0,$F14="x"),"0",IF(AND($F$26&gt;0,$F14="a"),"0",IF(AND($F$26&gt;0,$F14="b"),"150000",IF(AND($F$26&gt;0,$F14="c"),"300000",IF(AND($F$26&gt;0,$F14="d"),"450000",IF(AND($F$26&gt;0,$F14="e"),"600000",IF(AND($F$26&gt;0,$F14="f"),"750000",IF(AND($F$26&gt;0,$F14="g"),"900000",IF(AND($F$26&gt;0,$F14="h"),"1050000",IF(AND($F$26&gt;0,$F14="i"),"1200000",IF(AND($F$26&gt;0,$F14="j"),"1350000",IF(AND($F$26&gt;0,$F14="k"),"1500000",IF(AND($F$26&gt;0,$F14="l"),"1650000",IF(AND($F$26&gt;0,$F14="m"),"1800000",IF(AND($F$26&gt;0,$F14="n"),"1950000",IF(AND($F$26&gt;0,$F14="o"),"2100000",IF(AND($F$26&gt;0,$F14="p"),"2250000",IF(AND($F$26&gt;0,$F14="q"),"2400000",IF(AND($F$26&gt;0,$F14="r"),"2550000",IF(AND($F$26&gt;0,$F14="s"),"2700000",IF(AND($F$26&gt;0,$F14="t"),"2850000",IF(AND($F$26&gt;0,$F14="u"),"3000000",IF(AND($F$26&gt;0,$F14="v"),"3150000",IF(AND($F$26&gt;0,$F14="w"),"3300000",IF(AND($F$26&gt;0,$F14="x"),"3450000",))))))))))))))))))))))))))))))))))))))))))))))))</f>
        <v>450000</v>
      </c>
    </row>
    <row r="31" spans="2:6">
      <c r="B31" s="152" t="s">
        <v>136</v>
      </c>
      <c r="C31" s="153" t="str">
        <f>IF(AND($C$25&lt;0,$C15="0"),"-270000",IF(AND($C$25&lt;0,$C15="1"),"-240000",IF(AND($C$25&lt;0,$C15="2"),"-210000",IF(AND($C$25&lt;0,$C15="3"),"-180000",IF(AND($C$25&lt;0,$C15="4"),"-150000",IF(AND($C$25&lt;0,$C15="5"),"-120000",IF(AND($C$25&lt;0,$C15="6"),"-90000",IF(AND($C$25&lt;0,$C15="7"),"-60000",IF(AND($C$25&lt;0,$C15="8"),"-30000",IF(AND($C$25&lt;0,$C15="9"),"0",IF(AND($C$25&gt;0,$C15="0"),"0",IF(AND($C$25&gt;0,$C15="1"),"30000",IF(AND($C$25&gt;0,$C15="2"),"60000",IF(AND($C$25&gt;0,$C15="3"),"90000",IF(AND($C$25&gt;0,$C15="4"),"120000",IF(AND($C$25&gt;0,$C15="5"),"150000",IF(AND($C$25&gt;0,$C15="6"),"180000",IF(AND($C$25&gt;0,$C15="7"),"210000",IF(AND($C$25&gt;0,$C15="8"),"240000",IF(AND($C$25&gt;0,$C15="9"),"270000",))))))))))))))))))))</f>
        <v>-240000</v>
      </c>
      <c r="E31" s="152" t="s">
        <v>136</v>
      </c>
      <c r="F31" s="153" t="str">
        <f>IF(AND($F$25&lt;0,$F15="0"),"-270000",IF(AND($F$25&lt;0,$F15="1"),"-240000",IF(AND($F$25&lt;0,$F15="2"),"-210000",IF(AND($F$25&lt;0,$F15="3"),"-180000",IF(AND($F$25&lt;0,$F15="4"),"-150000",IF(AND($F$25&lt;0,$F15="5"),"-120000",IF(AND($F$25&lt;0,$F15="6"),"-90000",IF(AND($F$25&lt;0,$F15="7"),"-60000",IF(AND($F$25&lt;0,$F15="8"),"-30000",IF(AND($F$25&lt;0,$F15="9"),"0",IF(AND($F$25&gt;0,$F15="0"),"0",IF(AND($F$25&gt;0,$F15="1"),"30000",IF(AND($F$25&gt;0,$F15="2"),"60000",IF(AND($F$25&gt;0,$F15="3"),"90000",IF(AND($F$25&gt;0,$F15="4"),"120000",IF(AND($F$25&gt;0,$F15="5"),"150000",IF(AND($F$25&gt;0,$F15="6"),"180000",IF(AND($F$25&gt;0,$F15="7"),"210000",IF(AND($F$25&gt;0,$F15="8"),"240000",IF(AND($F$25&gt;0,$F15="9"),"270000",))))))))))))))))))))</f>
        <v>-60000</v>
      </c>
    </row>
    <row r="32" spans="2:6">
      <c r="B32" s="152" t="s">
        <v>137</v>
      </c>
      <c r="C32" s="153" t="str">
        <f>IF(AND($C$26&lt;0,$C16="0"),"-135000",IF(AND($C$26&lt;0,$C16="1"),"-120000",IF(AND($C$26&lt;0,$C16="2"),"-105000",IF(AND($C$26&lt;0,$C16="3"),"-90000",IF(AND($C$26&lt;0,$C16="4"),"-75000",IF(AND($C$26&lt;0,$C16="5"),"-60000",IF(AND($C$26&lt;0,$C16="6"),"-45000",IF(AND($C$26&lt;0,$C16="7"),"-30000",IF(AND($C$26&lt;0,$C16="8"),"-15000",IF(AND($C$26&lt;0,$C16="9"),"0",IF(AND($C$26&gt;0,$C16="0"),"0",IF(AND($C$26&gt;0,$C16="1"),"15000",IF(AND($C$26&gt;0,$C16="2"),"30000",IF(AND($C$26&gt;0,$C16="3"),"45000",IF(AND($C$26&gt;0,$C16="4"),"60000",IF(AND($C$26&gt;0,$C16="5"),"75000",IF(AND($C$26&gt;0,$C16="6"),"90000",IF(AND($C$26&gt;0,$C16="7"),"105000",IF(AND($C$26&gt;0,$C16="8"),"120000",IF(AND($C$26&gt;0,$C16="9"),"135000",))))))))))))))))))))</f>
        <v>45000</v>
      </c>
      <c r="E32" s="152" t="s">
        <v>137</v>
      </c>
      <c r="F32" s="153" t="str">
        <f>IF(AND($F$26&lt;0,$F16="0"),"-135000",IF(AND($F$26&lt;0,$F16="1"),"-120000",IF(AND($F$26&lt;0,$F16="2"),"-105000",IF(AND($F$26&lt;0,$F16="3"),"-90000",IF(AND($F$26&lt;0,$F16="4"),"-75000",IF(AND($F$26&lt;0,$F16="5"),"-60000",IF(AND($F$26&lt;0,$F16="6"),"-45000",IF(AND($F$26&lt;0,$F16="7"),"-30000",IF(AND($F$26&lt;0,$F16="8"),"-15000",IF(AND($F$26&lt;0,$F16="9"),"0",IF(AND($F$26&gt;0,$F16="0"),"0",IF(AND($F$26&gt;0,$F16="1"),"15000",IF(AND($F$26&gt;0,$F16="2"),"30000",IF(AND($F$26&gt;0,$F16="3"),"45000",IF(AND($F$26&gt;0,$F16="4"),"60000",IF(AND($F$26&gt;0,$F16="5"),"75000",IF(AND($F$26&gt;0,$F16="6"),"90000",IF(AND($F$26&gt;0,$F16="7"),"105000",IF(AND($F$26&gt;0,$F16="8"),"120000",IF(AND($F$26&gt;0,$F16="9"),"135000",))))))))))))))))))))</f>
        <v>105000</v>
      </c>
    </row>
    <row r="33" spans="2:6">
      <c r="B33" s="152" t="s">
        <v>138</v>
      </c>
      <c r="C33" s="153" t="str">
        <f>IF(AND($C$25&lt;0,$C17="a"),"-28750",IF(AND($C$25&lt;0,$C17="b"),"-27500",IF(AND($C$25&lt;0,$C17="c"),"-26250",IF(AND($C$25&lt;0,$C17="d"),"-25000",IF(AND($C$25&lt;0,$C17="e"),"-23750",IF(AND($C$25&lt;0,$C17="f"),"-22500",IF(AND($C$25&lt;0,$C17="g"),"-21250",IF(AND($C$25&lt;0,$C17="h"),"-20000",IF(AND($C$25&lt;0,$C17="i"),"-18750",IF(AND($C$25&lt;0,$C17="j"),"-17500",IF(AND($C$25&lt;0,$C17="k"),"-16250",IF(AND($C$25&lt;0,$C17="l"),"-15000",IF(AND($C$25&lt;0,$C17="m"),"-13750",IF(AND($C$25&lt;0,$C17="n"),"-12500",IF(AND($C$25&lt;0,$C17="o"),"-11250",IF(AND($C$25&lt;0,$C17="p"),"-10000",IF(AND($C$25&lt;0,$C17="q"),"-8750",IF(AND($C$25&lt;0,$C17="r"),"-7500",IF(AND($C$25&lt;0,$C17="s"),"-6250",IF(AND($C$25&lt;0,$C17="t"),"-5000",IF(AND($C$25&lt;0,$C17="u"),"-3750",IF(AND($C$25&lt;0,$C17="v"),"-2500",IF(AND($C$25&lt;0,$C17="w"),"-1250",IF(AND($C$25&lt;0,$C17="x"),"0",IF(AND($C$25&gt;0,$C17="a"),"0",IF(AND($C$25&gt;0,$C17="b"),"1250",IF(AND($C$25&gt;0,$C17="c"),"2500",IF(AND($C$25&gt;0,$C17="d"),"3750",IF(AND($C$25&gt;0,$C17="e"),"5000",IF(AND($C$25&gt;0,$C17="f"),"6250",IF(AND($C$25&gt;0,$C17="g"),"7500",IF(AND($C$25&gt;0,$C17="h"),"8750",IF(AND($C$25&gt;0,$C17="i"),"10000",IF(AND($C$25&gt;0,$C17="j"),"11250",IF(AND($C$25&gt;0,$C17="k"),"12500",IF(AND($C$25&gt;0,$C17="l"),"13750",IF(AND($C$25&gt;0,$C17="m"),"15000",IF(AND($C$25&gt;0,$C17="n"),"16250",IF(AND($C$25&gt;0,$C17="o"),"17500",IF(AND($C$25&gt;0,$C17="p"),"18750",IF(AND($C$25&gt;0,$C17="q"),"20000",IF(AND($C$25&gt;0,$C17="r"),"21250",IF(AND($C$25&gt;0,$C17="s"),"22500",IF(AND($C$25&gt;0,$C17="t"),"23750",IF(AND($C$25&gt;0,$C17="u"),"25000",IF(AND($C$25&gt;0,$C17="v"),"26250",IF(AND($C$25&gt;0,$C17="w"),"27500",IF(AND($C$25&gt;0,$C17="x"),"28750",))))))))))))))))))))))))))))))))))))))))))))))))</f>
        <v>-22500</v>
      </c>
      <c r="E33" s="152" t="s">
        <v>138</v>
      </c>
      <c r="F33" s="153" t="str">
        <f>IF(AND($F$25&lt;0,$F17="a"),"-28750",IF(AND($F$25&lt;0,$F17="b"),"-27500",IF(AND($F$25&lt;0,$F17="c"),"-26250",IF(AND($F$25&lt;0,$F17="d"),"-25000",IF(AND($F$25&lt;0,$F17="e"),"-23750",IF(AND($F$25&lt;0,$F17="f"),"-22500",IF(AND($F$25&lt;0,$F17="g"),"-21250",IF(AND($F$25&lt;0,$F17="h"),"-20000",IF(AND($F$25&lt;0,$F17="i"),"-18750",IF(AND($F$25&lt;0,$F17="j"),"-17500",IF(AND($F$25&lt;0,$F17="k"),"-16250",IF(AND($F$25&lt;0,$F17="l"),"-15000",IF(AND($F$25&lt;0,$F17="m"),"-13750",IF(AND($F$25&lt;0,$F17="n"),"-12500",IF(AND($F$25&lt;0,$F17="o"),"-11250",IF(AND($F$25&lt;0,$F17="p"),"-10000",IF(AND($F$25&lt;0,$F17="q"),"-8750",IF(AND($F$25&lt;0,$F17="r"),"-7500",IF(AND($F$25&lt;0,$F17="s"),"-6250",IF(AND($F$25&lt;0,$F17="t"),"-5000",IF(AND($F$25&lt;0,$F17="u"),"-3750",IF(AND($F$25&lt;0,$F17="v"),"-2500",IF(AND($F$25&lt;0,$F17="w"),"-1250",IF(AND($F$25&lt;0,$F17="x"),"0",IF(AND($F$25&gt;0,$F17="a"),"0",IF(AND($F$25&gt;0,$F17="b"),"1250",IF(AND($F$25&gt;0,$F17="c"),"2500",IF(AND($F$25&gt;0,$F17="d"),"3750",IF(AND($F$25&gt;0,$F17="e"),"5000",IF(AND($F$25&gt;0,$F17="f"),"6250",IF(AND($F$25&gt;0,$F17="g"),"7500",IF(AND($F$25&gt;0,$F17="h"),"8750",IF(AND($F$25&gt;0,$F17="i"),"10000",IF(AND($F$25&gt;0,$F17="j"),"11250",IF(AND($F$25&gt;0,$F17="k"),"12500",IF(AND($F$25&gt;0,$F17="l"),"13750",IF(AND($F$25&gt;0,$F17="m"),"15000",IF(AND($F$25&gt;0,$F17="n"),"16250",IF(AND($F$25&gt;0,$F17="o"),"17500",IF(AND($F$25&gt;0,$F17="p"),"18750",IF(AND($F$25&gt;0,$F17="q"),"20000",IF(AND($F$25&gt;0,$F17="r"),"21250",IF(AND($F$25&gt;0,$F17="s"),"22500",IF(AND($F$25&gt;0,$F17="t"),"23750",IF(AND($F$25&gt;0,$F17="u"),"25000",IF(AND($F$25&gt;0,$F17="v"),"26250",IF(AND($F$25&gt;0,$F17="w"),"27500",IF(AND($F$25&gt;0,$F17="x"),"28750",))))))))))))))))))))))))))))))))))))))))))))))))</f>
        <v>-6250</v>
      </c>
    </row>
    <row r="34" spans="2:6">
      <c r="B34" s="152" t="s">
        <v>139</v>
      </c>
      <c r="C34" s="153" t="str">
        <f>IF(AND($C$26&lt;0,$C18="a"),"-14375",IF(AND($C$26&lt;0,$C18="b"),"-13750",IF(AND($C$26&lt;0,$C18="c"),"-13125",IF(AND($C$26&lt;0,$C18="d"),"-12500",IF(AND($C$26&lt;0,$C18="e"),"-11875",IF(AND($C$26&lt;0,$C18="f"),"-11250",IF(AND($C$26&lt;0,$C18="g"),"-10625",IF(AND($C$26&lt;0,$C18="h"),"-10000",IF(AND($C$26&lt;0,$C18="i"),"-9375",IF(AND($C$26&lt;0,$C18="j"),"-8750",IF(AND($C$26&lt;0,$C18="k"),"-8125",IF(AND($C$26&lt;0,$C18="l"),"-7500",IF(AND($C$26&lt;0,$C18="m"),"-6875",IF(AND($C$26&lt;0,$C18="n"),"-6250",IF(AND($C$26&lt;0,$C18="o"),"-5625",IF(AND($C$26&lt;0,$C18="p"),"-5000",IF(AND($C$26&lt;0,$C18="q"),"-4375",IF(AND($C$26&lt;0,$C18="r"),"-3750",IF(AND($C$26&lt;0,$C18="s"),"-3125",IF(AND($C$26&lt;0,$C18="t"),"-2500",IF(AND($C$26&lt;0,$C18="u"),"-1875",IF(AND($C$26&lt;0,$C18="v"),"-1250",IF(AND($C$26&lt;0,$C18="w"),"-625",IF(AND($C$26&lt;0,$C18="x"),"0",IF(AND($C$26&gt;0,$C18="a"),"0",IF(AND($C$26&gt;0,$C18="b"),"625",IF(AND($C$26&gt;0,$C18="c"),"1250",IF(AND($C$26&gt;0,$C18="d"),"1875",IF(AND($C$26&gt;0,$C18="e"),"2500",IF(AND($C$26&gt;0,$C18="f"),"3125",IF(AND($C$26&gt;0,$C18="g"),"3750",IF(AND($C$26&gt;0,$C18="h"),"4375",IF(AND($C$26&gt;0,$C18="i"),"5000",IF(AND($C$26&gt;0,$C18="j"),"5625",IF(AND($C$26&gt;0,$C18="k"),"6250",IF(AND($C$26&gt;0,$C18="l"),"6875",IF(AND($C$26&gt;0,$C18="m"),"7500",IF(AND($C$26&gt;0,$C18="n"),"8125",IF(AND($C$26&gt;0,$C18="o"),"8750",IF(AND($C$26&gt;0,$C18="p"),"9375",IF(AND($C$26&gt;0,$C18="q"),"10000",IF(AND($C$26&gt;0,$C18="r"),"10625",IF(AND($C$26&gt;0,$C18="s"),"11250",IF(AND($C$26&gt;0,$C18="t"),"11875",IF(AND($C$26&gt;0,$C18="u"),"12500",IF(AND($C$26&gt;0,$C18="v"),"13125",IF(AND($C$26&gt;0,$C18="w"),"13750",IF(AND($C$26&gt;0,$C18="x"),"14375",))))))))))))))))))))))))))))))))))))))))))))))))</f>
        <v>1875</v>
      </c>
      <c r="E34" s="152" t="s">
        <v>139</v>
      </c>
      <c r="F34" s="153" t="str">
        <f>IF(AND($F$26&lt;0,$F18="a"),"-14375",IF(AND($F$26&lt;0,$F18="b"),"-13750",IF(AND($F$26&lt;0,$F18="c"),"-13125",IF(AND($F$26&lt;0,$F18="d"),"-12500",IF(AND($F$26&lt;0,$F18="e"),"-11875",IF(AND($F$26&lt;0,$F18="f"),"-11250",IF(AND($F$26&lt;0,$F18="g"),"-10625",IF(AND($F$26&lt;0,$F18="h"),"-10000",IF(AND($F$26&lt;0,$F18="i"),"-9375",IF(AND($F$26&lt;0,$F18="j"),"-8750",IF(AND($F$26&lt;0,$F18="k"),"-8125",IF(AND($F$26&lt;0,$F18="l"),"-7500",IF(AND($F$26&lt;0,$F18="m"),"-6875",IF(AND($F$26&lt;0,$F18="n"),"-6250",IF(AND($F$26&lt;0,$F18="o"),"-5625",IF(AND($F$26&lt;0,$F18="p"),"-5000",IF(AND($F$26&lt;0,$F18="q"),"-4375",IF(AND($F$26&lt;0,$F18="r"),"-3750",IF(AND($F$26&lt;0,$F18="s"),"-3125",IF(AND($F$26&lt;0,$F18="t"),"-2500",IF(AND($F$26&lt;0,$F18="u"),"-1875",IF(AND($F$26&lt;0,$F18="v"),"-1250",IF(AND($F$26&lt;0,$F18="w"),"-625",IF(AND($F$26&lt;0,$F18="x"),"0",IF(AND($F$26&gt;0,$F18="a"),"0",IF(AND($F$26&gt;0,$F18="b"),"625",IF(AND($F$26&gt;0,$F18="c"),"1250",IF(AND($F$26&gt;0,$F18="d"),"1875",IF(AND($F$26&gt;0,$F18="e"),"2500",IF(AND($F$26&gt;0,$F18="f"),"3125",IF(AND($F$26&gt;0,$F18="g"),"3750",IF(AND($F$26&gt;0,$F18="h"),"4375",IF(AND($F$26&gt;0,$F18="i"),"5000",IF(AND($F$26&gt;0,$F18="j"),"5625",IF(AND($F$26&gt;0,$F18="k"),"6250",IF(AND($F$26&gt;0,$F18="l"),"6875",IF(AND($F$26&gt;0,$F18="m"),"7500",IF(AND($F$26&gt;0,$F18="n"),"8125",IF(AND($F$26&gt;0,$F18="o"),"8750",IF(AND($F$26&gt;0,$F18="p"),"9375",IF(AND($F$26&gt;0,$F18="q"),"10000",IF(AND($F$26&gt;0,$F18="r"),"10625",IF(AND($F$26&gt;0,$F18="s"),"11250",IF(AND($F$26&gt;0,$F18="t"),"11875",IF(AND($F$26&gt;0,$F18="u"),"12500",IF(AND($F$26&gt;0,$F18="v"),"13125",IF(AND($F$26&gt;0,$F18="w"),"13750",IF(AND($F$26&gt;0,$F18="x"),"14375",))))))))))))))))))))))))))))))))))))))))))))))))</f>
        <v>1250</v>
      </c>
    </row>
    <row r="35" spans="2:6">
      <c r="B35" s="152" t="s">
        <v>140</v>
      </c>
      <c r="C35" s="153" t="str">
        <f>IF(AND($C$25&lt;0,$C19="0"),"-1125",IF(AND($C$25&lt;0,$C19="1"),"-1000",IF(AND($C$25&lt;0,$C19="2"),"-875",IF(AND($C$25&lt;0,$C19="3"),"-750",IF(AND($C$25&lt;0,$C19="4"),"-625",IF(AND($C$25&lt;0,$C19="5"),"-500",IF(AND($C$25&lt;0,$C19="6"),"-375",IF(AND($C$25&lt;0,$C19="7"),"-250",IF(AND($C$25&lt;0,$C19="8"),"-125",IF(AND($C$25&lt;0,$C19="9"),"0",IF(AND($C$25&gt;0,$C19="0"),"0",IF(AND($C$25&gt;0,$C19="1"),"125",IF(AND($C$25&gt;0,$C19="2"),"250",IF(AND($C$25&gt;0,$C19="3"),"375",IF(AND($C$25&gt;0,$C19="4"),"1500",IF(AND($C$25&gt;0,$C19="5"),"625",IF(AND($C$25&gt;0,$C19="6"),"750",IF(AND($C$25&gt;0,$C19="7"),"875",IF(AND($C$25&gt;0,$C19="8"),"1000",IF(AND($C$25&gt;0,$C19="9"),"1125",))))))))))))))))))))</f>
        <v>-375</v>
      </c>
      <c r="E35" s="152" t="s">
        <v>140</v>
      </c>
      <c r="F35" s="153" t="str">
        <f>IF(AND($F$25&lt;0,$F19="0"),"-1125",IF(AND($F$25&lt;0,$F19="1"),"-1000",IF(AND($F$25&lt;0,$F19="2"),"-875",IF(AND($F$25&lt;0,$F19="3"),"-750",IF(AND($F$25&lt;0,$F19="4"),"-625",IF(AND($F$25&lt;0,$F19="5"),"-500",IF(AND($F$25&lt;0,$F19="6"),"-375",IF(AND($F$25&lt;0,$F19="7"),"-250",IF(AND($F$25&lt;0,$F19="8"),"-125",IF(AND($F$25&lt;0,$F19="9"),"0",IF(AND($F$25&gt;0,$F19="0"),"0",IF(AND($F$25&gt;0,$F19="1"),"125",IF(AND($F$25&gt;0,$F19="2"),"250",IF(AND($F$25&gt;0,$F19="3"),"375",IF(AND($F$25&gt;0,$F19="4"),"1500",IF(AND($F$25&gt;0,$F19="5"),"625",IF(AND($F$25&gt;0,$F19="6"),"750",IF(AND($F$25&gt;0,$F19="7"),"875",IF(AND($F$25&gt;0,$F19="8"),"1000",IF(AND($F$25&gt;0,$F19="9"),"1125",))))))))))))))))))))</f>
        <v>-1125</v>
      </c>
    </row>
    <row r="36" spans="2:6">
      <c r="B36" s="152" t="s">
        <v>141</v>
      </c>
      <c r="C36" s="153" t="str">
        <f>IF(AND($C$26&lt;0,$C20="0"),"-562.5",IF(AND($C$26&lt;0,$C20="1"),"-500",IF(AND($C$26&lt;0,$C20="2"),"-437.5",IF(AND($C$26&lt;0,$C20="3"),"-375",IF(AND($C$26&lt;0,$C20="4"),"-312.5",IF(AND($C$26&lt;0,$C20="5"),"-250",IF(AND($C$26&lt;0,$C20="6"),"-187.5",IF(AND($C$26&lt;0,$C20="7"),"-125",IF(AND($C$26&lt;0,$C20="8"),"-62.5",IF(AND($C$26&lt;0,$C20="9"),"0",IF(AND($C$26&gt;0,$C20="0"),"0",IF(AND($C$26&gt;0,$C20="1"),"62.5",IF(AND($C$26&gt;0,$C20="2"),"125",IF(AND($C$26&gt;0,$C20="3"),"187.5",IF(AND($C$26&gt;0,$C20="4"),"250",IF(AND($C$26&gt;0,$C20="5"),"312.5",IF(AND($C$26&gt;0,$C20="6"),"375",IF(AND($C$26&gt;0,$C20="7"),"437.5",IF(AND($C$26&gt;0,$C20="8"),"500",IF(AND($C$26&gt;0,$C20="9"),"562.5",))))))))))))))))))))</f>
        <v>375</v>
      </c>
      <c r="E36" s="152" t="s">
        <v>141</v>
      </c>
      <c r="F36" s="153" t="str">
        <f>IF(AND($F$26&lt;0,$F20="0"),"-562.5",IF(AND($F$26&lt;0,$F20="1"),"-500",IF(AND($F$26&lt;0,$F20="2"),"-437.5",IF(AND($F$26&lt;0,$F20="3"),"-375",IF(AND($F$26&lt;0,$F20="4"),"-312.5",IF(AND($F$26&lt;0,$F20="5"),"-250",IF(AND($F$26&lt;0,$F20="6"),"-187.5",IF(AND($F$26&lt;0,$F20="7"),"-125",IF(AND($F$26&lt;0,$F20="8"),"-62.5",IF(AND($F$26&lt;0,$F20="9"),"0",IF(AND($F$26&gt;0,$F20="0"),"0",IF(AND($F$26&gt;0,$F20="1"),"62.5",IF(AND($F$26&gt;0,$F20="2"),"125",IF(AND($F$26&gt;0,$F20="3"),"187.5",IF(AND($F$26&gt;0,$F20="4"),"250",IF(AND($F$26&gt;0,$F20="5"),"312.5",IF(AND($F$26&gt;0,$F20="6"),"375",IF(AND($F$26&gt;0,$F20="7"),"437.5",IF(AND($F$26&gt;0,$F20="8"),"500",IF(AND($F$26&gt;0,$F20="9"),"562.5",))))))))))))))))))))</f>
        <v>62.5</v>
      </c>
    </row>
    <row r="37" spans="2:6">
      <c r="B37" s="152" t="s">
        <v>142</v>
      </c>
      <c r="C37" s="153" t="str">
        <f>IF(AND($C$25&lt;0,$C21="a"),"-119.79182",IF(AND($C$25&lt;0,$C21="b"),"-114.58348",IF(AND($C$25&lt;0,$C21="c"),"-109.37514",IF(AND($C$25&lt;0,$C21="d"),"-104.1668",IF(AND($C$25&lt;0,$C21="e"),"-98.95846",IF(AND($C$25&lt;0,$C21="f"),"-93.75012",IF(AND($C$25&lt;0,$C21="g"),"-88.54178",IF(AND($C$25&lt;0,$C21="h"),"-83.33344",IF(AND($C$25&lt;0,$C21="i"),"-78.1251",IF(AND($C$25&lt;0,$C21="j"),"-72.91676",IF(AND($C$25&lt;0,$C21="k"),"-67.70842",IF(AND($C$25&lt;0,$C21="l"),"-62.50008",IF(AND($C$25&lt;0,$C21="m"),"-57.29174",IF(AND($C$25&lt;0,$C21="n"),"-52.0834",IF(AND($C$25&lt;0,$C21="o"),"-46.87506",IF(AND($C$25&lt;0,$C21="p"),"-41.66672",IF(AND($C$25&lt;0,$C21="q"),"-36.45838",IF(AND($C$25&lt;0,$C21="r"),"-31.25004",IF(AND($C$25&lt;0,$C21="s"),"-26.0417",IF(AND($C$25&lt;0,$C21="t"),"-20.83336",IF(AND($C$25&lt;0,$C21="u"),"-15.62502",IF(AND($C$25&lt;0,$C21="v"),"-10.41668",IF(AND($C$25&lt;0,$C21="w"),"-5.20834",IF(AND($C$25&lt;0,$C21="x"),"0",IF(AND($C$25&gt;0,$C21="a"),"0",IF(AND($C$25&gt;0,$C21="b"),"5.20834",IF(AND($C$25&gt;0,$C21="c"),"10.41668",IF(AND($C$25&gt;0,$C21="d"),"15.62502",IF(AND($C$25&gt;0,$C21="e"),"20.83336",IF(AND($C$25&gt;0,$C21="f"),"26.0417",IF(AND($C$25&gt;0,$C21="g"),"31.25004",IF(AND($C$25&gt;0,$C21="h"),"36.45838",IF(AND($C$25&gt;0,$C21="i"),"41.66672",IF(AND($C$25&gt;0,$C21="j"),"46.87506",IF(AND($C$25&gt;0,$C21="k"),"52.0834",IF(AND($C$25&gt;0,$C21="l"),"57.29174",IF(AND($C$25&gt;0,$C21="m"),"62.50008",IF(AND($C$25&gt;0,$C21="n"),"67.70842",IF(AND($C$25&gt;0,$C21="o"),"72.91676",IF(AND($C$25&gt;0,$C21="p"),"78.1251",IF(AND($C$25&gt;0,$C21="q"),"83.33344",IF(AND($C$25&gt;0,$C21="r"),"88.54178",IF(AND($C$25&gt;0,$C21="s"),"93.75012",IF(AND($C$25&gt;0,$C21="t"),"98.95846",IF(AND($C$25&gt;0,$C21="u"),"104.1668",IF(AND($C$25&gt;0,$C21="v"),"109.37514",IF(AND($C$25&gt;0,$C21="w"),"114.58348",IF(AND($C$25&gt;0,$C21="x"),"119.79182",))))))))))))))))))))))))))))))))))))))))))))))))</f>
        <v>-31.25004</v>
      </c>
      <c r="E37" s="152" t="s">
        <v>142</v>
      </c>
      <c r="F37" s="153" t="str">
        <f>IF(AND($F$25&lt;0,$F21="a"),"-119.79182",IF(AND($F$25&lt;0,$F21="b"),"-114.58348",IF(AND($F$25&lt;0,$F21="c"),"-109.37514",IF(AND($F$25&lt;0,$F21="d"),"-104.1668",IF(AND($F$25&lt;0,$F21="e"),"-98.95846",IF(AND($F$25&lt;0,$F21="f"),"-93.75012",IF(AND($F$25&lt;0,$F21="g"),"-88.54178",IF(AND($F$25&lt;0,$F21="h"),"-83.33344",IF(AND($F$25&lt;0,$F21="i"),"-78.1251",IF(AND($F$25&lt;0,$F21="j"),"-72.91676",IF(AND($F$25&lt;0,$F21="k"),"-67.70842",IF(AND($F$25&lt;0,$F21="l"),"-62.50008",IF(AND($F$25&lt;0,$F21="m"),"-57.29174",IF(AND($F$25&lt;0,$F21="n"),"-52.0834",IF(AND($F$25&lt;0,$F21="o"),"-46.87506",IF(AND($F$25&lt;0,$F21="p"),"-41.66672",IF(AND($F$25&lt;0,$F21="q"),"-36.45838",IF(AND($F$25&lt;0,$F21="r"),"-31.25004",IF(AND($F$25&lt;0,$F21="s"),"-26.0417",IF(AND($F$25&lt;0,$F21="t"),"-20.83336",IF(AND($F$25&lt;0,$F21="u"),"-15.62502",IF(AND($F$25&lt;0,$F21="v"),"-10.41668",IF(AND($F$25&lt;0,$F21="w"),"-5.20834",IF(AND($F$25&lt;0,$F21="x"),"0",IF(AND($F$25&gt;0,$F21="a"),"0",IF(AND($F$25&gt;0,$F21="b"),"5.20834",IF(AND($F$25&gt;0,$F21="c"),"10.41668",IF(AND($F$25&gt;0,$F21="d"),"15.62502",IF(AND($F$25&gt;0,$F21="e"),"20.83336",IF(AND($F$25&gt;0,$F21="f"),"26.0417",IF(AND($F$25&gt;0,$F21="g"),"31.25004",IF(AND($F$25&gt;0,$F21="h"),"36.45838",IF(AND($F$25&gt;0,$F21="i"),"41.66672",IF(AND($F$25&gt;0,$F21="j"),"46.87506",IF(AND($F$25&gt;0,$F21="k"),"52.0834",IF(AND($F$25&gt;0,$F21="l"),"57.29174",IF(AND($F$25&gt;0,$F21="m"),"62.50008",IF(AND($F$25&gt;0,$F21="n"),"67.70842",IF(AND($F$25&gt;0,$F21="o"),"72.91676",IF(AND($F$25&gt;0,$F21="p"),"78.1251",IF(AND($F$25&gt;0,$F21="q"),"83.33344",IF(AND($F$25&gt;0,$F21="r"),"88.54178",IF(AND($F$25&gt;0,$F21="s"),"93.75012",IF(AND($F$25&gt;0,$F21="t"),"98.95846",IF(AND($F$25&gt;0,$F21="u"),"104.1668",IF(AND($F$25&gt;0,$F21="v"),"109.37514",IF(AND($F$25&gt;0,$F21="w"),"114.58348",IF(AND($F$25&gt;0,$F21="x"),"119.79182",))))))))))))))))))))))))))))))))))))))))))))))))</f>
        <v>-88.54178</v>
      </c>
    </row>
    <row r="38" spans="2:6">
      <c r="B38" s="152" t="s">
        <v>143</v>
      </c>
      <c r="C38" s="153" t="str">
        <f>IF(AND($C$26&lt;0,$C22="a"),"-59.895841",IF(AND($C$26&lt;0,$C22="b"),"-57.291674",IF(AND($C$26&lt;0,$C22="c"),"-54.687507",IF(AND($C$26&lt;0,$C22="d"),"-52.08334",IF(AND($C$26&lt;0,$C22="e"),"-49.479173",IF(AND($C$26&lt;0,$C22="f"),"-46.875006",IF(AND($C$26&lt;0,$C22="g"),"-44.270839",IF(AND($C$26&lt;0,$C22="h"),"-41.666672",IF(AND($C$26&lt;0,$C22="i"),"-39.062505",IF(AND($C$26&lt;0,$C22="j"),"-36.458338",IF(AND($C$26&lt;0,$C22="k"),"-33.854171",IF(AND($C$26&lt;0,$C22="l"),"-31.250004",IF(AND($C$26&lt;0,$C22="m"),"-28.645837",IF(AND($C$26&lt;0,$C22="n"),"-26.04167",IF(AND($C$26&lt;0,$C22="o"),"-23.437503",IF(AND($C$26&lt;0,$C22="p"),"-20.833336",IF(AND($C$26&lt;0,$C22="q"),"-18.229169",IF(AND($C$26&lt;0,$C22="r"),"-15.625002",IF(AND($C$26&lt;0,$C22="s"),"-13.020835",IF(AND($C$26&lt;0,$C22="t"),"-10.416668",IF(AND($C$26&lt;0,$C22="u"),"-7.812501",IF(AND($C$26&lt;0,$C22="v"),"-5.208334",IF(AND($C$26&lt;0,$C22="w"),"-2.604167",IF(AND($C$26&lt;0,$C22="x"),"0",IF(AND($C$26&gt;0,$C22="a"),"0",IF(AND($C$26&gt;0,$C22="b"),"2.604167",IF(AND($C$26&gt;0,$C22="c"),"5.208334",IF(AND($C$26&gt;0,$C22="d"),"7.812501",IF(AND($C$26&gt;0,$C22="e"),"10.416668",IF(AND($C$26&gt;0,$C22="f"),"13.020835",IF(AND($C$26&gt;0,$C22="g"),"15.625002",IF(AND($C$26&gt;0,$C22="h"),"18.229169",IF(AND($C$26&gt;0,$C22="i"),"20.833336",IF(AND($C$26&gt;0,$C22="j"),"23.437503",IF(AND($C$26&gt;0,$C22="k"),"26.04167",IF(AND($C$26&gt;0,$C22="l"),"28.645837",IF(AND($C$26&gt;0,$C22="m"),"31.250004",IF(AND($C$26&gt;0,$C22="n"),"33.854171",IF(AND($C$26&gt;0,$C22="o"),"36.458338",IF(AND($C$26&gt;0,$C22="p"),"39.062505",IF(AND($C$26&gt;0,$C22="q"),"41.666672",IF(AND($C$26&gt;0,$C22="r"),"44.270839",IF(AND($C$26&gt;0,$C22="s"),"46.875006",IF(AND($C$26&gt;0,$C22="t"),"49.479173",IF(AND($C$26&gt;0,$C22="u"),"52.08334",IF(AND($C$26&gt;0,$C22="v"),"54.687507",IF(AND($C$26&gt;0,$C22="w"),"57.291674",IF(AND($C$26&gt;0,$C22="x"),"59.895841",))))))))))))))))))))))))))))))))))))))))))))))))</f>
        <v>41.666672</v>
      </c>
      <c r="E38" s="152" t="s">
        <v>143</v>
      </c>
      <c r="F38" s="153" t="str">
        <f>IF(AND($F$26&lt;0,$F22="a"),"-59.895841",IF(AND($F$26&lt;0,$F22="b"),"-57.291674",IF(AND($F$26&lt;0,$F22="c"),"-54.687507",IF(AND($F$26&lt;0,$F22="d"),"-52.08334",IF(AND($F$26&lt;0,$F22="e"),"-49.479173",IF(AND($F$26&lt;0,$F22="f"),"-46.875006",IF(AND($F$26&lt;0,$F22="g"),"-44.270839",IF(AND($F$26&lt;0,$F22="h"),"-41.666672",IF(AND($F$26&lt;0,$F22="i"),"-39.062505",IF(AND($F$26&lt;0,$F22="j"),"-36.458338",IF(AND($F$26&lt;0,$F22="k"),"-33.854171",IF(AND($F$26&lt;0,$F22="l"),"-31.250004",IF(AND($F$26&lt;0,$F22="m"),"-28.645837",IF(AND($F$26&lt;0,$F22="n"),"-26.04167",IF(AND($F$26&lt;0,$F22="o"),"-23.437503",IF(AND($F$26&lt;0,$F22="p"),"-20.833336",IF(AND($F$26&lt;0,$F22="q"),"-18.229169",IF(AND($F$26&lt;0,$F22="r"),"-15.625002",IF(AND($F$26&lt;0,$F22="s"),"-13.020835",IF(AND($F$26&lt;0,$F22="t"),"-10.416668",IF(AND($F$26&lt;0,$F22="u"),"-7.812501",IF(AND($F$26&lt;0,$F22="v"),"-5.208334",IF(AND($F$26&lt;0,$F22="w"),"-2.604167",IF(AND($F$26&lt;0,$F22="x"),"0",IF(AND($F$26&gt;0,$F22="a"),"0",IF(AND($F$26&gt;0,$F22="b"),"2.604167",IF(AND($F$26&gt;0,$F22="c"),"5.208334",IF(AND($F$26&gt;0,$F22="d"),"7.812501",IF(AND($F$26&gt;0,$F22="e"),"10.416668",IF(AND($F$26&gt;0,$F22="f"),"13.020835",IF(AND($F$26&gt;0,$F22="g"),"15.625002",IF(AND($F$26&gt;0,$F22="h"),"18.229169",IF(AND($F$26&gt;0,$F22="i"),"20.833336",IF(AND($F$26&gt;0,$F22="j"),"23.437503",IF(AND($F$26&gt;0,$F22="k"),"26.04167",IF(AND($F$26&gt;0,$F22="l"),"28.645837",IF(AND($F$26&gt;0,$F22="m"),"31.250004",IF(AND($F$26&gt;0,$F22="n"),"33.854171",IF(AND($F$26&gt;0,$F22="o"),"36.458338",IF(AND($F$26&gt;0,$F22="p"),"39.062505",IF(AND($F$26&gt;0,$F22="q"),"41.666672",IF(AND($F$26&gt;0,$F22="r"),"44.270839",IF(AND($F$26&gt;0,$F22="s"),"46.875006",IF(AND($F$26&gt;0,$F22="t"),"49.479173",IF(AND($F$26&gt;0,$F22="u"),"52.08334",IF(AND($F$26&gt;0,$F22="v"),"54.687507",IF(AND($F$26&gt;0,$F22="w"),"57.291674",IF(AND($F$26&gt;0,$F22="x"),"59.895841",))))))))))))))))))))))))))))))))))))))))))))))))</f>
        <v>36.458338</v>
      </c>
    </row>
    <row r="39" spans="2:6">
      <c r="B39" s="152" t="s">
        <v>144</v>
      </c>
      <c r="C39" s="153" t="str">
        <f>IF(AND($C$25&lt;0,$C23="0"),"-4.687497",IF(AND($C$25&lt;0,$C23="1"),"-4.166664",IF(AND($C$25&lt;0,$C23="2"),"-3.645831",IF(AND($C$25&lt;0,$C23="3"),"-3.124998",IF(AND($C$25&lt;0,$C23="4"),"-2.604165",IF(AND($C$25&lt;0,$C23="5"),"-2.083332",IF(AND($C$25&lt;0,$C23="6"),"-1.562499",IF(AND($C$25&lt;0,$C23="7"),"-1.041666",IF(AND($C$25&lt;0,$C23="8"),"-0.520833",IF(AND($C$25&lt;0,$C23="9"),"0",IF(AND($C$25&gt;0,$C23="0"),"0",IF(AND($C$25&gt;0,$C23="1"),"0.520833",IF(AND($C$25&gt;0,$C23="2"),"1.041666",IF(AND($C$25&gt;0,$C23="3"),"1.562499",IF(AND($C$25&gt;0,$C23="4"),"2.083332",IF(AND($C$25&gt;0,$C23="5"),"2.604165",IF(AND($C$25&gt;0,$C23="6"),"3.124998",IF(AND($C$25&gt;0,$C23="7"),"3.645831",IF(AND($C$25&gt;0,$C23="8"),"4.166664",IF(AND($C$25&gt;0,$C23="9"),"4.687497",))))))))))))))))))))</f>
        <v>-1.562499</v>
      </c>
      <c r="E39" s="152" t="s">
        <v>144</v>
      </c>
      <c r="F39" s="153" t="str">
        <f>IF(AND($F$25&lt;0,$F23="0"),"-4.687497",IF(AND($F$25&lt;0,$F23="1"),"-4.166664",IF(AND($F$25&lt;0,$F23="2"),"-3.645831",IF(AND($F$25&lt;0,$F23="3"),"-3.124998",IF(AND($F$25&lt;0,$F23="4"),"-2.604165",IF(AND($F$25&lt;0,$F23="5"),"-2.083332",IF(AND($F$25&lt;0,$F23="6"),"-1.562499",IF(AND($F$25&lt;0,$F23="7"),"-1.041666",IF(AND($F$25&lt;0,$F23="8"),"-0.520833",IF(AND($F$25&lt;0,$F23="9"),"0",IF(AND($F$25&gt;0,$F23="0"),"0",IF(AND($F$25&gt;0,$F23="1"),"0.520833",IF(AND($F$25&gt;0,$F23="2"),"1.041666",IF(AND($F$25&gt;0,$F23="3"),"1.562499",IF(AND($F$25&gt;0,$F23="4"),"2.083332",IF(AND($F$25&gt;0,$F23="5"),"2.604165",IF(AND($F$25&gt;0,$F23="6"),"3.124998",IF(AND($F$25&gt;0,$F23="7"),"3.645831",IF(AND($F25&gt;0,$F23="8"),"4.166664",IF(AND($F$25&gt;0,$F23="9"),"4.687497",))))))))))))))))))))</f>
        <v>0</v>
      </c>
    </row>
    <row r="40" spans="2:6">
      <c r="B40" s="152" t="s">
        <v>145</v>
      </c>
      <c r="C40" s="153" t="str">
        <f>IF(AND($C$26&lt;0,$C24="0"),"-0.23437503",IF(AND($C$26&lt;0,$C24="1"),"-0.20833336",IF(AND($C$26&lt;0,$C24="2"),"-0.18229169",IF(AND($C$26&lt;0,$C24="3"),"-0.15625002",IF(AND($C$26&lt;0,$C24="4"),"-0.13020835",IF(AND($C$26&lt;0,$C24="5"),"-0.10416668",IF(AND($C$26&lt;0,$C24="6"),"-0.07812501",IF(AND($C$26&lt;0,$C24="7"),"-0.05208334",IF(AND($C$26&lt;0,$C24="8"),"-0.02604167",IF(AND($C$26&lt;0,$C24="9"),"0",IF(AND($C$26&gt;0,$C24="0"),"0",IF(AND($C$26&gt;0,$C24="1"),"0.02604167",IF(AND($C$26&gt;0,$C24="2"),"0.05208334",IF(AND($C$26&gt;0,$C24="3"),"0.07812501",IF(AND($C$26&gt;0,$C24="4"),"0.10416668",IF(AND($C$26&gt;0,$C24="5"),"0.13020835",IF(AND($C$26&gt;0,$C24="6"),"0.15625002",IF(AND($C$26&gt;0,$C24="7"),"0.18229169",IF(AND($C$26&gt;0,$C24="8"),"0.20833336",IF(AND($C$26&gt;0,$C24="9"),"0.23437503",))))))))))))))))))))</f>
        <v>0</v>
      </c>
      <c r="E40" s="152" t="s">
        <v>145</v>
      </c>
      <c r="F40" s="153" t="str">
        <f>IF(AND($F$26&lt;0,$F24="0"),"-0.23437503",IF(AND($F$26&lt;0,$F24="1"),"-0.20833336",IF(AND($F$26&lt;0,$F24="2"),"-0.18229169",IF(AND($F$26&lt;0,$F24="3"),"-0.15625002",IF(AND($F$26&lt;0,$F24="4"),"-0.13020835",IF(AND($F$26&lt;0,$F24="5"),"-0.10416668",IF(AND($F$26&lt;0,$F24="6"),"-0.07812501",IF(AND($F$26&lt;0,$F24="7"),"-0.05208334",IF(AND($F$26&lt;0,$F24="8"),"-0.02604167",IF(AND($F$26&lt;0,$F24="9"),"0",IF(AND($F$26&gt;0,$F24="0"),"0",IF(AND($F$26&gt;0,$F24="1"),"0.02604167",IF(AND($F$26&gt;0,$F24="2"),"0.05208334",IF(AND($F$26&gt;0,$F24="3"),"0.07812501",IF(AND($F$26&gt;0,$F24="4"),"0.10416668",IF(AND($F$26&gt;0,$F24="5"),"0.13020835",IF(AND($F$26&gt;0,$F24="6"),"0.15625002",IF(AND($F$26&gt;0,$F24="7"),"0.18229169",IF(AND($F$26&gt;0,$F24="8"),"0.20833336",IF(AND($F$26&gt;0,$F24="9"),"0.23437503",))))))))))))))))))))</f>
        <v>0</v>
      </c>
    </row>
    <row r="41" spans="2:6">
      <c r="B41" s="152" t="s">
        <v>147</v>
      </c>
      <c r="C41" s="153">
        <f>C25+C27+C29+C31+C33+C35+C37+C39</f>
        <v>-325162907.81253898</v>
      </c>
      <c r="E41" s="152" t="s">
        <v>147</v>
      </c>
      <c r="F41" s="153">
        <f>F25+F27+F29+F31+F33+F35+F37+F39</f>
        <v>-335767463.54177999</v>
      </c>
    </row>
    <row r="42" spans="2:6">
      <c r="B42" s="152" t="s">
        <v>146</v>
      </c>
      <c r="C42" s="153">
        <f>C26+C28+C30+C32+C34+C36+C38+C40</f>
        <v>115997291.66667201</v>
      </c>
      <c r="E42" s="152" t="s">
        <v>146</v>
      </c>
      <c r="F42" s="153">
        <f>F26+F28+F30+F32+F34+F36+F38+F40</f>
        <v>112156348.95833801</v>
      </c>
    </row>
    <row r="43" spans="2:6">
      <c r="B43" s="152" t="s">
        <v>150</v>
      </c>
      <c r="C43" s="153">
        <f>C41/3600000</f>
        <v>-90.323029947927495</v>
      </c>
      <c r="E43" s="152" t="s">
        <v>150</v>
      </c>
      <c r="F43" s="153">
        <f>F41/3600000</f>
        <v>-93.268739872716665</v>
      </c>
    </row>
    <row r="44" spans="2:6">
      <c r="B44" s="152" t="s">
        <v>151</v>
      </c>
      <c r="C44" s="153">
        <f>C42/3600000</f>
        <v>32.221469907408888</v>
      </c>
      <c r="E44" s="152" t="s">
        <v>151</v>
      </c>
      <c r="F44" s="153">
        <f>F42/3600000</f>
        <v>31.154541377316114</v>
      </c>
    </row>
    <row r="45" spans="2:6">
      <c r="B45" s="152" t="s">
        <v>152</v>
      </c>
      <c r="C45" s="153" t="str">
        <f>LEFT(C43,FIND(".",C43)-1)</f>
        <v>-90</v>
      </c>
      <c r="E45" s="152" t="s">
        <v>152</v>
      </c>
      <c r="F45" s="153" t="str">
        <f>LEFT(F43,FIND(".",F43)-1)</f>
        <v>-93</v>
      </c>
    </row>
    <row r="46" spans="2:6">
      <c r="B46" s="152" t="s">
        <v>153</v>
      </c>
      <c r="C46" s="153" t="str">
        <f>LEFT(C44,FIND(".",C44)-1)</f>
        <v>32</v>
      </c>
      <c r="E46" s="152" t="s">
        <v>153</v>
      </c>
      <c r="F46" s="153" t="str">
        <f>LEFT(F44,FIND(".",F44)-1)</f>
        <v>31</v>
      </c>
    </row>
    <row r="47" spans="2:6">
      <c r="B47" s="152" t="s">
        <v>154</v>
      </c>
      <c r="C47" s="153">
        <f>60*(C43-C45)</f>
        <v>-19.381796875649684</v>
      </c>
      <c r="E47" s="152" t="s">
        <v>154</v>
      </c>
      <c r="F47" s="153">
        <f>60*(F43-F45)</f>
        <v>-16.124392362999913</v>
      </c>
    </row>
    <row r="48" spans="2:6">
      <c r="B48" s="152" t="s">
        <v>155</v>
      </c>
      <c r="C48" s="153">
        <f>60*(C44-C46)</f>
        <v>13.288194444533303</v>
      </c>
      <c r="E48" s="152" t="s">
        <v>155</v>
      </c>
      <c r="F48" s="153">
        <f>60*(F44-F46)</f>
        <v>9.2724826389668635</v>
      </c>
    </row>
    <row r="49" spans="2:6">
      <c r="B49" s="152" t="s">
        <v>156</v>
      </c>
      <c r="C49" s="154" t="str">
        <f>LEFT(C47,FIND(".",C47)-1)</f>
        <v>-19</v>
      </c>
      <c r="E49" s="152" t="s">
        <v>156</v>
      </c>
      <c r="F49" s="154" t="str">
        <f>LEFT(F47,FIND(".",F47)-1)</f>
        <v>-16</v>
      </c>
    </row>
    <row r="50" spans="2:6">
      <c r="B50" s="152" t="s">
        <v>157</v>
      </c>
      <c r="C50" s="154" t="str">
        <f>LEFT(C48,FIND(".",C48)-1)</f>
        <v>13</v>
      </c>
      <c r="E50" s="152" t="s">
        <v>157</v>
      </c>
      <c r="F50" s="154" t="str">
        <f>LEFT(F48,FIND(".",F48)-1)</f>
        <v>9</v>
      </c>
    </row>
    <row r="51" spans="2:6">
      <c r="B51" s="152" t="s">
        <v>158</v>
      </c>
      <c r="C51" s="153">
        <f>3600*(C43-C45-(C49/60))</f>
        <v>-22.907812538981087</v>
      </c>
      <c r="E51" s="152" t="s">
        <v>158</v>
      </c>
      <c r="F51" s="153">
        <f>3600*(F43-F45-(F49/60))</f>
        <v>-7.4635417799947978</v>
      </c>
    </row>
    <row r="52" spans="2:6" ht="15.75" thickBot="1">
      <c r="B52" s="195" t="s">
        <v>159</v>
      </c>
      <c r="C52" s="196">
        <f>3600*(C44-C46-(C50/60))</f>
        <v>17.291666671998172</v>
      </c>
      <c r="E52" s="195" t="s">
        <v>159</v>
      </c>
      <c r="F52" s="196">
        <f>3600*(F44-F46-(F50/60))</f>
        <v>16.348958338011833</v>
      </c>
    </row>
    <row r="53" spans="2:6" ht="19.5" thickBot="1">
      <c r="B53" s="232" t="s">
        <v>191</v>
      </c>
      <c r="C53" s="233"/>
      <c r="D53" s="233"/>
      <c r="E53" s="233"/>
      <c r="F53" s="234"/>
    </row>
  </sheetData>
  <mergeCells count="5">
    <mergeCell ref="B53:F53"/>
    <mergeCell ref="B7:C7"/>
    <mergeCell ref="E7:F7"/>
    <mergeCell ref="G3:G4"/>
    <mergeCell ref="B5:G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E44"/>
  <sheetViews>
    <sheetView workbookViewId="0">
      <selection activeCell="B2" sqref="B2:D2"/>
    </sheetView>
  </sheetViews>
  <sheetFormatPr defaultRowHeight="15"/>
  <cols>
    <col min="1" max="1" width="4.140625" customWidth="1"/>
    <col min="2" max="2" width="14" style="1" customWidth="1"/>
    <col min="3" max="3" width="9.140625" style="1"/>
    <col min="4" max="4" width="15.140625" style="1" customWidth="1"/>
    <col min="5" max="5" width="4.85546875" customWidth="1"/>
  </cols>
  <sheetData>
    <row r="1" spans="2:5" ht="15.75" thickBot="1"/>
    <row r="2" spans="2:5" ht="15.75" thickBot="1">
      <c r="B2" s="255" t="s">
        <v>88</v>
      </c>
      <c r="C2" s="256"/>
      <c r="D2" s="257"/>
    </row>
    <row r="3" spans="2:5" ht="15.75" thickBot="1">
      <c r="B3" s="36" t="s">
        <v>90</v>
      </c>
      <c r="C3" s="36" t="s">
        <v>62</v>
      </c>
      <c r="D3" s="36" t="s">
        <v>100</v>
      </c>
    </row>
    <row r="4" spans="2:5">
      <c r="B4" s="34">
        <v>-180</v>
      </c>
      <c r="C4" s="34"/>
      <c r="D4" s="33">
        <f>B4*3600000</f>
        <v>-648000000</v>
      </c>
    </row>
    <row r="5" spans="2:5">
      <c r="B5" s="33"/>
      <c r="C5" s="33" t="s">
        <v>44</v>
      </c>
      <c r="D5" s="33"/>
      <c r="E5" s="1"/>
    </row>
    <row r="6" spans="2:5">
      <c r="B6" s="33">
        <v>-160</v>
      </c>
      <c r="C6" s="33"/>
      <c r="D6" s="33">
        <f t="shared" ref="D6:D40" si="0">B6*3600000</f>
        <v>-576000000</v>
      </c>
    </row>
    <row r="7" spans="2:5">
      <c r="B7" s="33"/>
      <c r="C7" s="33" t="s">
        <v>45</v>
      </c>
      <c r="D7" s="33"/>
    </row>
    <row r="8" spans="2:5">
      <c r="B8" s="33">
        <v>-140</v>
      </c>
      <c r="C8" s="33"/>
      <c r="D8" s="33">
        <f t="shared" si="0"/>
        <v>-504000000</v>
      </c>
    </row>
    <row r="9" spans="2:5">
      <c r="B9" s="33"/>
      <c r="C9" s="33" t="s">
        <v>46</v>
      </c>
      <c r="D9" s="33"/>
    </row>
    <row r="10" spans="2:5">
      <c r="B10" s="33">
        <v>-120</v>
      </c>
      <c r="C10" s="33"/>
      <c r="D10" s="33">
        <f t="shared" si="0"/>
        <v>-432000000</v>
      </c>
    </row>
    <row r="11" spans="2:5">
      <c r="B11" s="33"/>
      <c r="C11" s="33" t="s">
        <v>47</v>
      </c>
      <c r="D11" s="33"/>
    </row>
    <row r="12" spans="2:5">
      <c r="B12" s="33">
        <v>-100</v>
      </c>
      <c r="C12" s="33"/>
      <c r="D12" s="33">
        <f t="shared" si="0"/>
        <v>-360000000</v>
      </c>
    </row>
    <row r="13" spans="2:5">
      <c r="B13" s="33"/>
      <c r="C13" s="33" t="s">
        <v>48</v>
      </c>
      <c r="D13" s="33"/>
    </row>
    <row r="14" spans="2:5">
      <c r="B14" s="33">
        <v>-80</v>
      </c>
      <c r="C14" s="33"/>
      <c r="D14" s="33">
        <f t="shared" si="0"/>
        <v>-288000000</v>
      </c>
    </row>
    <row r="15" spans="2:5">
      <c r="B15" s="33"/>
      <c r="C15" s="33" t="s">
        <v>49</v>
      </c>
      <c r="D15" s="33"/>
    </row>
    <row r="16" spans="2:5">
      <c r="B16" s="33">
        <v>-60</v>
      </c>
      <c r="C16" s="33"/>
      <c r="D16" s="33">
        <f t="shared" si="0"/>
        <v>-216000000</v>
      </c>
    </row>
    <row r="17" spans="2:4">
      <c r="B17" s="33"/>
      <c r="C17" s="33" t="s">
        <v>50</v>
      </c>
      <c r="D17" s="33"/>
    </row>
    <row r="18" spans="2:4">
      <c r="B18" s="33">
        <v>-40</v>
      </c>
      <c r="C18" s="33"/>
      <c r="D18" s="33">
        <f t="shared" si="0"/>
        <v>-144000000</v>
      </c>
    </row>
    <row r="19" spans="2:4">
      <c r="B19" s="33"/>
      <c r="C19" s="33" t="s">
        <v>51</v>
      </c>
      <c r="D19" s="33"/>
    </row>
    <row r="20" spans="2:4">
      <c r="B20" s="33">
        <v>-20</v>
      </c>
      <c r="C20" s="33"/>
      <c r="D20" s="33">
        <f t="shared" si="0"/>
        <v>-72000000</v>
      </c>
    </row>
    <row r="21" spans="2:4">
      <c r="B21" s="33"/>
      <c r="C21" s="33" t="s">
        <v>52</v>
      </c>
      <c r="D21" s="33"/>
    </row>
    <row r="22" spans="2:4">
      <c r="B22" s="33">
        <v>0</v>
      </c>
      <c r="C22" s="33"/>
      <c r="D22" s="33">
        <f t="shared" si="0"/>
        <v>0</v>
      </c>
    </row>
    <row r="23" spans="2:4">
      <c r="B23" s="33"/>
      <c r="C23" s="33" t="s">
        <v>53</v>
      </c>
      <c r="D23" s="33"/>
    </row>
    <row r="24" spans="2:4">
      <c r="B24" s="33">
        <v>20</v>
      </c>
      <c r="C24" s="33"/>
      <c r="D24" s="33">
        <f t="shared" si="0"/>
        <v>72000000</v>
      </c>
    </row>
    <row r="25" spans="2:4">
      <c r="B25" s="33"/>
      <c r="C25" s="33" t="s">
        <v>54</v>
      </c>
      <c r="D25" s="33"/>
    </row>
    <row r="26" spans="2:4">
      <c r="B26" s="33">
        <v>40</v>
      </c>
      <c r="C26" s="33"/>
      <c r="D26" s="33">
        <f t="shared" si="0"/>
        <v>144000000</v>
      </c>
    </row>
    <row r="27" spans="2:4">
      <c r="B27" s="33"/>
      <c r="C27" s="33" t="s">
        <v>55</v>
      </c>
      <c r="D27" s="33"/>
    </row>
    <row r="28" spans="2:4">
      <c r="B28" s="33">
        <v>60</v>
      </c>
      <c r="C28" s="33"/>
      <c r="D28" s="33">
        <f t="shared" si="0"/>
        <v>216000000</v>
      </c>
    </row>
    <row r="29" spans="2:4">
      <c r="B29" s="33"/>
      <c r="C29" s="33" t="s">
        <v>56</v>
      </c>
      <c r="D29" s="33"/>
    </row>
    <row r="30" spans="2:4">
      <c r="B30" s="33">
        <v>80</v>
      </c>
      <c r="C30" s="33"/>
      <c r="D30" s="33">
        <f t="shared" si="0"/>
        <v>288000000</v>
      </c>
    </row>
    <row r="31" spans="2:4">
      <c r="B31" s="33"/>
      <c r="C31" s="33" t="s">
        <v>57</v>
      </c>
      <c r="D31" s="33"/>
    </row>
    <row r="32" spans="2:4">
      <c r="B32" s="33">
        <v>100</v>
      </c>
      <c r="C32" s="33"/>
      <c r="D32" s="33">
        <f t="shared" si="0"/>
        <v>360000000</v>
      </c>
    </row>
    <row r="33" spans="2:4">
      <c r="B33" s="33"/>
      <c r="C33" s="33" t="s">
        <v>58</v>
      </c>
      <c r="D33" s="33"/>
    </row>
    <row r="34" spans="2:4">
      <c r="B34" s="33">
        <v>120</v>
      </c>
      <c r="C34" s="33"/>
      <c r="D34" s="33">
        <f t="shared" si="0"/>
        <v>432000000</v>
      </c>
    </row>
    <row r="35" spans="2:4">
      <c r="B35" s="33"/>
      <c r="C35" s="33" t="s">
        <v>59</v>
      </c>
      <c r="D35" s="33"/>
    </row>
    <row r="36" spans="2:4">
      <c r="B36" s="33">
        <v>140</v>
      </c>
      <c r="C36" s="33"/>
      <c r="D36" s="33">
        <f t="shared" si="0"/>
        <v>504000000</v>
      </c>
    </row>
    <row r="37" spans="2:4">
      <c r="B37" s="33"/>
      <c r="C37" s="33" t="s">
        <v>60</v>
      </c>
      <c r="D37" s="33"/>
    </row>
    <row r="38" spans="2:4">
      <c r="B38" s="33">
        <v>160</v>
      </c>
      <c r="C38" s="33"/>
      <c r="D38" s="33">
        <f t="shared" si="0"/>
        <v>576000000</v>
      </c>
    </row>
    <row r="39" spans="2:4">
      <c r="B39" s="33"/>
      <c r="C39" s="33" t="s">
        <v>61</v>
      </c>
      <c r="D39" s="33"/>
    </row>
    <row r="40" spans="2:4" ht="15.75" thickBot="1">
      <c r="B40" s="35">
        <v>180</v>
      </c>
      <c r="C40" s="35"/>
      <c r="D40" s="35">
        <f t="shared" si="0"/>
        <v>648000000</v>
      </c>
    </row>
    <row r="41" spans="2:4">
      <c r="B41" s="258" t="s">
        <v>211</v>
      </c>
      <c r="C41" s="259"/>
      <c r="D41" s="260"/>
    </row>
    <row r="42" spans="2:4">
      <c r="B42" s="261"/>
      <c r="C42" s="262"/>
      <c r="D42" s="263"/>
    </row>
    <row r="43" spans="2:4">
      <c r="B43" s="261"/>
      <c r="C43" s="262"/>
      <c r="D43" s="263"/>
    </row>
    <row r="44" spans="2:4" ht="15.75" thickBot="1">
      <c r="B44" s="264"/>
      <c r="C44" s="265"/>
      <c r="D44" s="266"/>
    </row>
  </sheetData>
  <mergeCells count="2">
    <mergeCell ref="B2:D2"/>
    <mergeCell ref="B41:D44"/>
  </mergeCells>
  <printOptions horizontalCentered="1" verticalCentered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D44"/>
  <sheetViews>
    <sheetView workbookViewId="0">
      <selection activeCell="H10" sqref="H10"/>
    </sheetView>
  </sheetViews>
  <sheetFormatPr defaultRowHeight="15"/>
  <cols>
    <col min="1" max="1" width="4.42578125" customWidth="1"/>
    <col min="2" max="2" width="14.42578125" customWidth="1"/>
    <col min="4" max="4" width="16.28515625" style="1" customWidth="1"/>
    <col min="5" max="5" width="4.85546875" customWidth="1"/>
  </cols>
  <sheetData>
    <row r="1" spans="2:4" ht="15.75" thickBot="1"/>
    <row r="2" spans="2:4" ht="15.75" thickBot="1">
      <c r="B2" s="267" t="s">
        <v>89</v>
      </c>
      <c r="C2" s="268"/>
      <c r="D2" s="269"/>
    </row>
    <row r="3" spans="2:4" ht="15.75" thickBot="1">
      <c r="B3" s="36" t="s">
        <v>90</v>
      </c>
      <c r="C3" s="36" t="s">
        <v>62</v>
      </c>
      <c r="D3" s="36" t="s">
        <v>100</v>
      </c>
    </row>
    <row r="4" spans="2:4">
      <c r="B4" s="34">
        <v>-90</v>
      </c>
      <c r="C4" s="34"/>
      <c r="D4" s="34">
        <f>B4*3600000</f>
        <v>-324000000</v>
      </c>
    </row>
    <row r="5" spans="2:4">
      <c r="B5" s="33"/>
      <c r="C5" s="33" t="s">
        <v>44</v>
      </c>
      <c r="D5" s="33"/>
    </row>
    <row r="6" spans="2:4">
      <c r="B6" s="33">
        <v>-80</v>
      </c>
      <c r="C6" s="33"/>
      <c r="D6" s="33">
        <f t="shared" ref="D6:D40" si="0">B6*3600000</f>
        <v>-288000000</v>
      </c>
    </row>
    <row r="7" spans="2:4">
      <c r="B7" s="33"/>
      <c r="C7" s="33" t="s">
        <v>45</v>
      </c>
      <c r="D7" s="33"/>
    </row>
    <row r="8" spans="2:4">
      <c r="B8" s="33">
        <v>-70</v>
      </c>
      <c r="C8" s="33"/>
      <c r="D8" s="33">
        <f t="shared" si="0"/>
        <v>-252000000</v>
      </c>
    </row>
    <row r="9" spans="2:4">
      <c r="B9" s="33"/>
      <c r="C9" s="33" t="s">
        <v>46</v>
      </c>
      <c r="D9" s="33"/>
    </row>
    <row r="10" spans="2:4">
      <c r="B10" s="33">
        <v>-60</v>
      </c>
      <c r="C10" s="33"/>
      <c r="D10" s="33">
        <f t="shared" si="0"/>
        <v>-216000000</v>
      </c>
    </row>
    <row r="11" spans="2:4">
      <c r="B11" s="33"/>
      <c r="C11" s="33" t="s">
        <v>47</v>
      </c>
      <c r="D11" s="33"/>
    </row>
    <row r="12" spans="2:4">
      <c r="B12" s="33">
        <v>-50</v>
      </c>
      <c r="C12" s="33"/>
      <c r="D12" s="33">
        <f t="shared" si="0"/>
        <v>-180000000</v>
      </c>
    </row>
    <row r="13" spans="2:4">
      <c r="B13" s="33"/>
      <c r="C13" s="33" t="s">
        <v>48</v>
      </c>
      <c r="D13" s="33"/>
    </row>
    <row r="14" spans="2:4">
      <c r="B14" s="33">
        <v>-40</v>
      </c>
      <c r="C14" s="33"/>
      <c r="D14" s="33">
        <f t="shared" si="0"/>
        <v>-144000000</v>
      </c>
    </row>
    <row r="15" spans="2:4">
      <c r="B15" s="33"/>
      <c r="C15" s="33" t="s">
        <v>49</v>
      </c>
      <c r="D15" s="33"/>
    </row>
    <row r="16" spans="2:4">
      <c r="B16" s="33">
        <v>-30</v>
      </c>
      <c r="C16" s="33"/>
      <c r="D16" s="33">
        <f t="shared" si="0"/>
        <v>-108000000</v>
      </c>
    </row>
    <row r="17" spans="2:4">
      <c r="B17" s="33"/>
      <c r="C17" s="33" t="s">
        <v>50</v>
      </c>
      <c r="D17" s="33"/>
    </row>
    <row r="18" spans="2:4">
      <c r="B18" s="33">
        <v>-20</v>
      </c>
      <c r="C18" s="33"/>
      <c r="D18" s="33">
        <f t="shared" si="0"/>
        <v>-72000000</v>
      </c>
    </row>
    <row r="19" spans="2:4">
      <c r="B19" s="33"/>
      <c r="C19" s="33" t="s">
        <v>51</v>
      </c>
      <c r="D19" s="33"/>
    </row>
    <row r="20" spans="2:4">
      <c r="B20" s="33">
        <v>-10</v>
      </c>
      <c r="C20" s="33"/>
      <c r="D20" s="33">
        <f t="shared" si="0"/>
        <v>-36000000</v>
      </c>
    </row>
    <row r="21" spans="2:4">
      <c r="B21" s="33"/>
      <c r="C21" s="33" t="s">
        <v>52</v>
      </c>
      <c r="D21" s="33"/>
    </row>
    <row r="22" spans="2:4">
      <c r="B22" s="33">
        <v>0</v>
      </c>
      <c r="C22" s="33"/>
      <c r="D22" s="33">
        <f t="shared" si="0"/>
        <v>0</v>
      </c>
    </row>
    <row r="23" spans="2:4">
      <c r="B23" s="33"/>
      <c r="C23" s="33" t="s">
        <v>53</v>
      </c>
      <c r="D23" s="33"/>
    </row>
    <row r="24" spans="2:4">
      <c r="B24" s="33">
        <v>10</v>
      </c>
      <c r="C24" s="33"/>
      <c r="D24" s="33">
        <f t="shared" si="0"/>
        <v>36000000</v>
      </c>
    </row>
    <row r="25" spans="2:4">
      <c r="B25" s="33"/>
      <c r="C25" s="33" t="s">
        <v>54</v>
      </c>
      <c r="D25" s="33"/>
    </row>
    <row r="26" spans="2:4">
      <c r="B26" s="33">
        <v>20</v>
      </c>
      <c r="C26" s="33"/>
      <c r="D26" s="33">
        <f t="shared" si="0"/>
        <v>72000000</v>
      </c>
    </row>
    <row r="27" spans="2:4">
      <c r="B27" s="33"/>
      <c r="C27" s="33" t="s">
        <v>55</v>
      </c>
      <c r="D27" s="33"/>
    </row>
    <row r="28" spans="2:4">
      <c r="B28" s="33">
        <v>30</v>
      </c>
      <c r="C28" s="33"/>
      <c r="D28" s="33">
        <f t="shared" si="0"/>
        <v>108000000</v>
      </c>
    </row>
    <row r="29" spans="2:4">
      <c r="B29" s="33"/>
      <c r="C29" s="33" t="s">
        <v>56</v>
      </c>
      <c r="D29" s="33"/>
    </row>
    <row r="30" spans="2:4">
      <c r="B30" s="33">
        <v>40</v>
      </c>
      <c r="C30" s="33"/>
      <c r="D30" s="33">
        <f t="shared" si="0"/>
        <v>144000000</v>
      </c>
    </row>
    <row r="31" spans="2:4">
      <c r="B31" s="33"/>
      <c r="C31" s="33" t="s">
        <v>57</v>
      </c>
      <c r="D31" s="33"/>
    </row>
    <row r="32" spans="2:4">
      <c r="B32" s="33">
        <v>50</v>
      </c>
      <c r="C32" s="33"/>
      <c r="D32" s="33">
        <f t="shared" si="0"/>
        <v>180000000</v>
      </c>
    </row>
    <row r="33" spans="2:4">
      <c r="B33" s="33"/>
      <c r="C33" s="33" t="s">
        <v>58</v>
      </c>
      <c r="D33" s="33"/>
    </row>
    <row r="34" spans="2:4">
      <c r="B34" s="33">
        <v>60</v>
      </c>
      <c r="C34" s="33"/>
      <c r="D34" s="33">
        <f t="shared" si="0"/>
        <v>216000000</v>
      </c>
    </row>
    <row r="35" spans="2:4">
      <c r="B35" s="33"/>
      <c r="C35" s="33" t="s">
        <v>59</v>
      </c>
      <c r="D35" s="33"/>
    </row>
    <row r="36" spans="2:4">
      <c r="B36" s="33">
        <v>70</v>
      </c>
      <c r="C36" s="33"/>
      <c r="D36" s="33">
        <f t="shared" si="0"/>
        <v>252000000</v>
      </c>
    </row>
    <row r="37" spans="2:4">
      <c r="B37" s="33"/>
      <c r="C37" s="33" t="s">
        <v>60</v>
      </c>
      <c r="D37" s="33"/>
    </row>
    <row r="38" spans="2:4">
      <c r="B38" s="33">
        <v>80</v>
      </c>
      <c r="C38" s="33"/>
      <c r="D38" s="33">
        <f t="shared" si="0"/>
        <v>288000000</v>
      </c>
    </row>
    <row r="39" spans="2:4">
      <c r="B39" s="33"/>
      <c r="C39" s="33" t="s">
        <v>61</v>
      </c>
      <c r="D39" s="33"/>
    </row>
    <row r="40" spans="2:4" ht="15.75" thickBot="1">
      <c r="B40" s="35">
        <v>90</v>
      </c>
      <c r="C40" s="35"/>
      <c r="D40" s="35">
        <f t="shared" si="0"/>
        <v>324000000</v>
      </c>
    </row>
    <row r="41" spans="2:4">
      <c r="B41" s="258" t="s">
        <v>212</v>
      </c>
      <c r="C41" s="270"/>
      <c r="D41" s="271"/>
    </row>
    <row r="42" spans="2:4">
      <c r="B42" s="272"/>
      <c r="C42" s="273"/>
      <c r="D42" s="274"/>
    </row>
    <row r="43" spans="2:4">
      <c r="B43" s="272"/>
      <c r="C43" s="273"/>
      <c r="D43" s="274"/>
    </row>
    <row r="44" spans="2:4" ht="15.75" thickBot="1">
      <c r="B44" s="275"/>
      <c r="C44" s="276"/>
      <c r="D44" s="277"/>
    </row>
  </sheetData>
  <mergeCells count="2">
    <mergeCell ref="B2:D2"/>
    <mergeCell ref="B41:D4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39</vt:i4>
      </vt:variant>
    </vt:vector>
  </HeadingPairs>
  <TitlesOfParts>
    <vt:vector size="62" baseType="lpstr">
      <vt:lpstr>Relationships</vt:lpstr>
      <vt:lpstr>Decimal Degrees to Grid </vt:lpstr>
      <vt:lpstr>Degs-Mins to Decimal Degrees</vt:lpstr>
      <vt:lpstr>DMS to Decimal Degrees</vt:lpstr>
      <vt:lpstr>Grid to Degree Converter</vt:lpstr>
      <vt:lpstr>Accuracy</vt:lpstr>
      <vt:lpstr>Grid to Grid Distance</vt:lpstr>
      <vt:lpstr>Character 1 Table 13</vt:lpstr>
      <vt:lpstr>Character 2 Table 14</vt:lpstr>
      <vt:lpstr>Character 3 Table 15</vt:lpstr>
      <vt:lpstr>Character 4 Table 16</vt:lpstr>
      <vt:lpstr>Character 5 Table 17</vt:lpstr>
      <vt:lpstr>Character 6 Table 18</vt:lpstr>
      <vt:lpstr>Character 7 Table 19</vt:lpstr>
      <vt:lpstr>Character 8 Table 20</vt:lpstr>
      <vt:lpstr>Character 9 Table 21</vt:lpstr>
      <vt:lpstr>Character 10 Table 22</vt:lpstr>
      <vt:lpstr>Character 11 Table 23</vt:lpstr>
      <vt:lpstr>Character 12 Table 24</vt:lpstr>
      <vt:lpstr>Character 13 Table 25</vt:lpstr>
      <vt:lpstr>Character 14 Table 26</vt:lpstr>
      <vt:lpstr>Character 15 Table 27</vt:lpstr>
      <vt:lpstr>Character 16 Table 28</vt:lpstr>
      <vt:lpstr>Lat_RX_1</vt:lpstr>
      <vt:lpstr>Lat_RX_2</vt:lpstr>
      <vt:lpstr>Lat_RX_3</vt:lpstr>
      <vt:lpstr>Lat_RX_4</vt:lpstr>
      <vt:lpstr>Lat_RX_5</vt:lpstr>
      <vt:lpstr>Lat_RX_6</vt:lpstr>
      <vt:lpstr>Lat_RX_7</vt:lpstr>
      <vt:lpstr>Lat_RX_8</vt:lpstr>
      <vt:lpstr>Lat_RX_9</vt:lpstr>
      <vt:lpstr>Latitude_1</vt:lpstr>
      <vt:lpstr>Latitude_2</vt:lpstr>
      <vt:lpstr>Lon_RX_1</vt:lpstr>
      <vt:lpstr>Lon_RX_2</vt:lpstr>
      <vt:lpstr>Lon_RX_3</vt:lpstr>
      <vt:lpstr>Lon_RX_4</vt:lpstr>
      <vt:lpstr>Lon_RX_5</vt:lpstr>
      <vt:lpstr>Lon_RX_6</vt:lpstr>
      <vt:lpstr>Lon_RX_7</vt:lpstr>
      <vt:lpstr>Lon_RX_8</vt:lpstr>
      <vt:lpstr>Lon_RX_9</vt:lpstr>
      <vt:lpstr>Longitude_1</vt:lpstr>
      <vt:lpstr>Longitude_2</vt:lpstr>
      <vt:lpstr>'Character 1 Table 13'!Print_Area</vt:lpstr>
      <vt:lpstr>'Character 10 Table 22'!Print_Area</vt:lpstr>
      <vt:lpstr>'Character 11 Table 23'!Print_Area</vt:lpstr>
      <vt:lpstr>'Character 12 Table 24'!Print_Area</vt:lpstr>
      <vt:lpstr>'Character 13 Table 25'!Print_Area</vt:lpstr>
      <vt:lpstr>'Character 14 Table 26'!Print_Area</vt:lpstr>
      <vt:lpstr>'Character 15 Table 27'!Print_Area</vt:lpstr>
      <vt:lpstr>'Character 16 Table 28'!Print_Area</vt:lpstr>
      <vt:lpstr>'Character 2 Table 14'!Print_Area</vt:lpstr>
      <vt:lpstr>'Character 3 Table 15'!Print_Area</vt:lpstr>
      <vt:lpstr>'Character 4 Table 16'!Print_Area</vt:lpstr>
      <vt:lpstr>'Character 5 Table 17'!Print_Area</vt:lpstr>
      <vt:lpstr>'Character 6 Table 18'!Print_Area</vt:lpstr>
      <vt:lpstr>'Character 7 Table 19'!Print_Area</vt:lpstr>
      <vt:lpstr>'Character 8 Table 20'!Print_Area</vt:lpstr>
      <vt:lpstr>'Character 9 Table 21'!Print_Area</vt:lpstr>
      <vt:lpstr>'Grid to Degree Converter'!Print_Area</vt:lpstr>
    </vt:vector>
  </TitlesOfParts>
  <Company>American Electric 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G Echols</dc:creator>
  <cp:lastModifiedBy>KaiS</cp:lastModifiedBy>
  <cp:lastPrinted>2015-06-29T18:09:27Z</cp:lastPrinted>
  <dcterms:created xsi:type="dcterms:W3CDTF">2015-05-26T17:37:18Z</dcterms:created>
  <dcterms:modified xsi:type="dcterms:W3CDTF">2016-02-07T17:54:31Z</dcterms:modified>
</cp:coreProperties>
</file>